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780" windowHeight="10425"/>
  </bookViews>
  <sheets>
    <sheet name=" Учащиеся от 12 и старше " sheetId="4" r:id="rId1"/>
  </sheets>
  <definedNames>
    <definedName name="_xlnm.Print_Area" localSheetId="0">' Учащиеся от 12 и старше '!$A$1:$N$139</definedName>
  </definedNames>
  <calcPr calcId="152511"/>
</workbook>
</file>

<file path=xl/calcChain.xml><?xml version="1.0" encoding="utf-8"?>
<calcChain xmlns="http://schemas.openxmlformats.org/spreadsheetml/2006/main">
  <c r="C241" i="4" l="1"/>
  <c r="N233" i="4"/>
  <c r="M233" i="4"/>
  <c r="L233" i="4"/>
  <c r="K233" i="4"/>
  <c r="J233" i="4"/>
  <c r="I233" i="4"/>
  <c r="G233" i="4"/>
  <c r="F233" i="4"/>
  <c r="E233" i="4"/>
  <c r="D233" i="4"/>
  <c r="N232" i="4"/>
  <c r="M232" i="4"/>
  <c r="L232" i="4"/>
  <c r="K232" i="4"/>
  <c r="J232" i="4"/>
  <c r="I232" i="4"/>
  <c r="G232" i="4"/>
  <c r="F232" i="4"/>
  <c r="E232" i="4"/>
  <c r="D232" i="4"/>
  <c r="N231" i="4"/>
  <c r="M231" i="4"/>
  <c r="L231" i="4"/>
  <c r="K231" i="4"/>
  <c r="J231" i="4"/>
  <c r="I231" i="4"/>
  <c r="G231" i="4"/>
  <c r="F231" i="4"/>
  <c r="E231" i="4"/>
  <c r="D231" i="4"/>
  <c r="N229" i="4"/>
  <c r="M229" i="4"/>
  <c r="L229" i="4"/>
  <c r="L241" i="4" s="1"/>
  <c r="D220" i="4"/>
  <c r="C220" i="4"/>
  <c r="N211" i="4"/>
  <c r="N220" i="4" s="1"/>
  <c r="M211" i="4"/>
  <c r="M220" i="4" s="1"/>
  <c r="L211" i="4"/>
  <c r="L220" i="4" s="1"/>
  <c r="K211" i="4"/>
  <c r="K220" i="4" s="1"/>
  <c r="J211" i="4"/>
  <c r="J220" i="4" s="1"/>
  <c r="I211" i="4"/>
  <c r="I220" i="4" s="1"/>
  <c r="G211" i="4"/>
  <c r="G220" i="4" s="1"/>
  <c r="F211" i="4"/>
  <c r="F220" i="4" s="1"/>
  <c r="E211" i="4"/>
  <c r="E220" i="4" s="1"/>
  <c r="D211" i="4"/>
  <c r="C200" i="4"/>
  <c r="N194" i="4"/>
  <c r="M194" i="4"/>
  <c r="L194" i="4"/>
  <c r="K194" i="4"/>
  <c r="J194" i="4"/>
  <c r="I194" i="4"/>
  <c r="G194" i="4"/>
  <c r="F194" i="4"/>
  <c r="E194" i="4"/>
  <c r="D194" i="4"/>
  <c r="N192" i="4"/>
  <c r="M192" i="4"/>
  <c r="M200" i="4" s="1"/>
  <c r="L192" i="4"/>
  <c r="K192" i="4"/>
  <c r="J192" i="4"/>
  <c r="I192" i="4"/>
  <c r="I200" i="4" s="1"/>
  <c r="G192" i="4"/>
  <c r="F192" i="4"/>
  <c r="E192" i="4"/>
  <c r="D192" i="4"/>
  <c r="D200" i="4" s="1"/>
  <c r="C179" i="4"/>
  <c r="N173" i="4"/>
  <c r="M173" i="4"/>
  <c r="L173" i="4"/>
  <c r="K173" i="4"/>
  <c r="J173" i="4"/>
  <c r="I173" i="4"/>
  <c r="G173" i="4"/>
  <c r="F173" i="4"/>
  <c r="E173" i="4"/>
  <c r="D173" i="4"/>
  <c r="N172" i="4"/>
  <c r="M172" i="4"/>
  <c r="L172" i="4"/>
  <c r="K172" i="4"/>
  <c r="J172" i="4"/>
  <c r="I172" i="4"/>
  <c r="G172" i="4"/>
  <c r="F172" i="4"/>
  <c r="E172" i="4"/>
  <c r="D172" i="4"/>
  <c r="N171" i="4"/>
  <c r="M171" i="4"/>
  <c r="L171" i="4"/>
  <c r="L179" i="4" s="1"/>
  <c r="K171" i="4"/>
  <c r="J171" i="4"/>
  <c r="I171" i="4"/>
  <c r="G171" i="4"/>
  <c r="G179" i="4" s="1"/>
  <c r="F171" i="4"/>
  <c r="E171" i="4"/>
  <c r="D171" i="4"/>
  <c r="N158" i="4"/>
  <c r="C158" i="4"/>
  <c r="M151" i="4"/>
  <c r="M158" i="4" s="1"/>
  <c r="L151" i="4"/>
  <c r="L158" i="4" s="1"/>
  <c r="K151" i="4"/>
  <c r="K158" i="4" s="1"/>
  <c r="J151" i="4"/>
  <c r="J158" i="4" s="1"/>
  <c r="I151" i="4"/>
  <c r="I158" i="4" s="1"/>
  <c r="G151" i="4"/>
  <c r="G158" i="4" s="1"/>
  <c r="F151" i="4"/>
  <c r="F158" i="4" s="1"/>
  <c r="E151" i="4"/>
  <c r="E158" i="4" s="1"/>
  <c r="D151" i="4"/>
  <c r="D158" i="4" s="1"/>
  <c r="C140" i="4"/>
  <c r="N134" i="4"/>
  <c r="M134" i="4"/>
  <c r="L134" i="4"/>
  <c r="K134" i="4"/>
  <c r="J134" i="4"/>
  <c r="I134" i="4"/>
  <c r="G134" i="4"/>
  <c r="F134" i="4"/>
  <c r="E134" i="4"/>
  <c r="D134" i="4"/>
  <c r="N133" i="4"/>
  <c r="M133" i="4"/>
  <c r="M140" i="4" s="1"/>
  <c r="L133" i="4"/>
  <c r="K133" i="4"/>
  <c r="J133" i="4"/>
  <c r="I133" i="4"/>
  <c r="I140" i="4" s="1"/>
  <c r="G133" i="4"/>
  <c r="F133" i="4"/>
  <c r="E133" i="4"/>
  <c r="D133" i="4"/>
  <c r="D140" i="4" s="1"/>
  <c r="N131" i="4"/>
  <c r="M131" i="4"/>
  <c r="L131" i="4"/>
  <c r="K131" i="4"/>
  <c r="J131" i="4"/>
  <c r="I131" i="4"/>
  <c r="G131" i="4"/>
  <c r="F131" i="4"/>
  <c r="E131" i="4"/>
  <c r="D131" i="4"/>
  <c r="C112" i="4"/>
  <c r="N106" i="4"/>
  <c r="M106" i="4"/>
  <c r="L106" i="4"/>
  <c r="K106" i="4"/>
  <c r="J106" i="4"/>
  <c r="I106" i="4"/>
  <c r="G106" i="4"/>
  <c r="F106" i="4"/>
  <c r="E106" i="4"/>
  <c r="D106" i="4"/>
  <c r="M105" i="4"/>
  <c r="L105" i="4"/>
  <c r="K105" i="4"/>
  <c r="J105" i="4"/>
  <c r="J112" i="4" s="1"/>
  <c r="I105" i="4"/>
  <c r="G105" i="4"/>
  <c r="G112" i="4" s="1"/>
  <c r="F105" i="4"/>
  <c r="E105" i="4"/>
  <c r="E112" i="4" s="1"/>
  <c r="D105" i="4"/>
  <c r="N100" i="4"/>
  <c r="M100" i="4"/>
  <c r="L100" i="4"/>
  <c r="C80" i="4"/>
  <c r="N73" i="4"/>
  <c r="N80" i="4" s="1"/>
  <c r="M73" i="4"/>
  <c r="M80" i="4" s="1"/>
  <c r="L73" i="4"/>
  <c r="L80" i="4" s="1"/>
  <c r="K73" i="4"/>
  <c r="K80" i="4" s="1"/>
  <c r="J73" i="4"/>
  <c r="J80" i="4" s="1"/>
  <c r="I73" i="4"/>
  <c r="I80" i="4" s="1"/>
  <c r="G73" i="4"/>
  <c r="G80" i="4" s="1"/>
  <c r="F73" i="4"/>
  <c r="F80" i="4" s="1"/>
  <c r="E73" i="4"/>
  <c r="E80" i="4" s="1"/>
  <c r="D73" i="4"/>
  <c r="D80" i="4" s="1"/>
  <c r="C49" i="4"/>
  <c r="N44" i="4"/>
  <c r="M44" i="4"/>
  <c r="L44" i="4"/>
  <c r="K44" i="4"/>
  <c r="J44" i="4"/>
  <c r="I44" i="4"/>
  <c r="G44" i="4"/>
  <c r="F44" i="4"/>
  <c r="E44" i="4"/>
  <c r="D44" i="4"/>
  <c r="N43" i="4"/>
  <c r="M43" i="4"/>
  <c r="M49" i="4" s="1"/>
  <c r="L43" i="4"/>
  <c r="K43" i="4"/>
  <c r="J43" i="4"/>
  <c r="I43" i="4"/>
  <c r="I49" i="4" s="1"/>
  <c r="G43" i="4"/>
  <c r="F43" i="4"/>
  <c r="E43" i="4"/>
  <c r="D43" i="4"/>
  <c r="D49" i="4" s="1"/>
  <c r="N22" i="4"/>
  <c r="M22" i="4"/>
  <c r="L22" i="4"/>
  <c r="K22" i="4"/>
  <c r="J22" i="4"/>
  <c r="I22" i="4"/>
  <c r="G22" i="4"/>
  <c r="F22" i="4"/>
  <c r="E22" i="4"/>
  <c r="D22" i="4"/>
  <c r="C22" i="4"/>
  <c r="G49" i="4" l="1"/>
  <c r="L49" i="4"/>
  <c r="G200" i="4"/>
  <c r="L200" i="4"/>
  <c r="N112" i="4"/>
  <c r="E140" i="4"/>
  <c r="J140" i="4"/>
  <c r="N140" i="4"/>
  <c r="M241" i="4"/>
  <c r="F241" i="4"/>
  <c r="K241" i="4"/>
  <c r="D241" i="4"/>
  <c r="I241" i="4"/>
  <c r="D112" i="4"/>
  <c r="I112" i="4"/>
  <c r="G241" i="4"/>
  <c r="E49" i="4"/>
  <c r="J49" i="4"/>
  <c r="N49" i="4"/>
  <c r="L112" i="4"/>
  <c r="F140" i="4"/>
  <c r="K140" i="4"/>
  <c r="F179" i="4"/>
  <c r="K179" i="4"/>
  <c r="D179" i="4"/>
  <c r="I179" i="4"/>
  <c r="M179" i="4"/>
  <c r="E200" i="4"/>
  <c r="J200" i="4"/>
  <c r="N200" i="4"/>
  <c r="N241" i="4"/>
  <c r="E241" i="4"/>
  <c r="J241" i="4"/>
  <c r="F49" i="4"/>
  <c r="K49" i="4"/>
  <c r="M112" i="4"/>
  <c r="F112" i="4"/>
  <c r="K112" i="4"/>
  <c r="G140" i="4"/>
  <c r="L140" i="4"/>
  <c r="E179" i="4"/>
  <c r="J179" i="4"/>
  <c r="N179" i="4"/>
  <c r="F200" i="4"/>
  <c r="K200" i="4"/>
</calcChain>
</file>

<file path=xl/sharedStrings.xml><?xml version="1.0" encoding="utf-8"?>
<sst xmlns="http://schemas.openxmlformats.org/spreadsheetml/2006/main" count="393" uniqueCount="132">
  <si>
    <t>Приём пищи</t>
  </si>
  <si>
    <t>Наименования блюд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</si>
  <si>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</si>
  <si>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</si>
  <si>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</si>
  <si>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</si>
  <si>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</si>
  <si>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</si>
  <si>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</si>
  <si>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день</t>
  </si>
  <si>
    <t>Неделя 2</t>
  </si>
  <si>
    <t>хлеб ржаной</t>
  </si>
  <si>
    <t>Сборник технологических карт, рецептур блюд кулинарных изделий</t>
  </si>
  <si>
    <t>для школьного питания. Уфа ИП Поляковский Ю.И 2018</t>
  </si>
  <si>
    <t>Минеральные элементы, мг</t>
  </si>
  <si>
    <t>Витамины</t>
  </si>
  <si>
    <t>Ca</t>
  </si>
  <si>
    <t>Mg</t>
  </si>
  <si>
    <t>Fe</t>
  </si>
  <si>
    <t>В1, мг</t>
  </si>
  <si>
    <t>В2, мг</t>
  </si>
  <si>
    <t>С, мг</t>
  </si>
  <si>
    <t>хлеб пшеничный</t>
  </si>
  <si>
    <t>23</t>
  </si>
  <si>
    <t>салат из огурцов и помидоров (замена лечо)</t>
  </si>
  <si>
    <t>чай с сахаром с лимоном</t>
  </si>
  <si>
    <t xml:space="preserve">Неделя 1 </t>
  </si>
  <si>
    <t>Неделя 1</t>
  </si>
  <si>
    <t xml:space="preserve">Неделя 2 </t>
  </si>
  <si>
    <t>салат из соленых огурцов с луком и зеленым горошком</t>
  </si>
  <si>
    <t>салат картофельный с морковью и кукурузой</t>
  </si>
  <si>
    <t>закуска</t>
  </si>
  <si>
    <t>борщ с капустой и картофелем</t>
  </si>
  <si>
    <t>1 блюдо</t>
  </si>
  <si>
    <t>плов из курицы</t>
  </si>
  <si>
    <t>гор.блюдо</t>
  </si>
  <si>
    <t>хлеб ржано-пшеничный</t>
  </si>
  <si>
    <t>чай с лимоном</t>
  </si>
  <si>
    <t>компот из с\ф</t>
  </si>
  <si>
    <t xml:space="preserve">кондитерские изделия </t>
  </si>
  <si>
    <t>напиток</t>
  </si>
  <si>
    <t xml:space="preserve">День 1                                                                                                                                                        ОБЕД </t>
  </si>
  <si>
    <t>255-309</t>
  </si>
  <si>
    <t>суп картофельный с горохом и курицей</t>
  </si>
  <si>
    <t>209-312</t>
  </si>
  <si>
    <t>салат из капусты с морковью (замена лечо)</t>
  </si>
  <si>
    <t xml:space="preserve">День 2                                                                                                                                                               ОБЕД </t>
  </si>
  <si>
    <t>салат из свеклы</t>
  </si>
  <si>
    <t>салат из помидоров (замена соленые помидоры)</t>
  </si>
  <si>
    <t>салат витаминный</t>
  </si>
  <si>
    <t>суп картофельный с клёцками</t>
  </si>
  <si>
    <t>щи из свежей капусты с картофелем и курицей</t>
  </si>
  <si>
    <t>246-323</t>
  </si>
  <si>
    <t>рис отварной+тефтели рыбные</t>
  </si>
  <si>
    <t>чай с сахаром</t>
  </si>
  <si>
    <t>фрукты</t>
  </si>
  <si>
    <t>312-271</t>
  </si>
  <si>
    <t>260-305</t>
  </si>
  <si>
    <t xml:space="preserve">День 3                                                                                                                                                          ОБЕД </t>
  </si>
  <si>
    <t xml:space="preserve">каша гречневая с маслом+гуляш из говядины </t>
  </si>
  <si>
    <t xml:space="preserve">картофель отварной+котлеты мясные </t>
  </si>
  <si>
    <t>макароны отварные+печень по строгановски</t>
  </si>
  <si>
    <t xml:space="preserve">пюре картофельное+птица в соусе </t>
  </si>
  <si>
    <t>винегрет овощной</t>
  </si>
  <si>
    <t>щи из свежей капусты с картофелем и курицец</t>
  </si>
  <si>
    <t>макароны отварные с маслом+котлеты домашнии</t>
  </si>
  <si>
    <t>271-203</t>
  </si>
  <si>
    <t>пюре картофельное+курица отварная</t>
  </si>
  <si>
    <t>суп лапша по-домашнему с курицей</t>
  </si>
  <si>
    <t>компот из ягод</t>
  </si>
  <si>
    <t>огурцы порционные свежие ( замена солеными огурцами)</t>
  </si>
  <si>
    <t>312-288</t>
  </si>
  <si>
    <t>День 4                                                                                                                                                               ОБЕД</t>
  </si>
  <si>
    <t>салат из свежих помидоров (замена солеными помидорами)</t>
  </si>
  <si>
    <t>салат картофельный с горошком и огурцом</t>
  </si>
  <si>
    <t>салат из свеклы с солеными огурцами</t>
  </si>
  <si>
    <t>щи зеленые со шпинатом и курицей</t>
  </si>
  <si>
    <t>жаркое по-домашнему</t>
  </si>
  <si>
    <t>макароны отварные с маслом+биточки куриные</t>
  </si>
  <si>
    <t>205-203</t>
  </si>
  <si>
    <t>рис припущеный+рыба отварная</t>
  </si>
  <si>
    <t>305-226</t>
  </si>
  <si>
    <t>День5                                                                                                                                                                ОБЕД</t>
  </si>
  <si>
    <t>рассольник ленинградский с курицей</t>
  </si>
  <si>
    <t>запеканка из творога</t>
  </si>
  <si>
    <t>макароны отварные с маслом+тефтели мясные</t>
  </si>
  <si>
    <t>рис припущеный+кура отварная</t>
  </si>
  <si>
    <t>кофейный напиток</t>
  </si>
  <si>
    <t xml:space="preserve">сок </t>
  </si>
  <si>
    <t>суп крестьянский с крупой</t>
  </si>
  <si>
    <t>305-288</t>
  </si>
  <si>
    <t>203-279</t>
  </si>
  <si>
    <t>Сборник рецептур на продукцию для обучающихся во всех образовательных учереждениях  В.А Тутельян 2011г</t>
  </si>
  <si>
    <t xml:space="preserve">День 1                                                                                                                                                  ОБЕД </t>
  </si>
  <si>
    <t>суп картофельный с макаронными изделиями и курицей</t>
  </si>
  <si>
    <t>гречка отварная+птица в соусе</t>
  </si>
  <si>
    <t>297-209</t>
  </si>
  <si>
    <t>рагу овощное из птицы</t>
  </si>
  <si>
    <t xml:space="preserve">День 2                                                                                                                                                   ОБЕД </t>
  </si>
  <si>
    <t>порционные свежие огурцы</t>
  </si>
  <si>
    <t>салат из капусты с огурцом</t>
  </si>
  <si>
    <t>суп картофельный с мясными  фрикадельками</t>
  </si>
  <si>
    <t>картофельное пюре+котлеты рыбные</t>
  </si>
  <si>
    <t>255-312</t>
  </si>
  <si>
    <t>макароны отварные с маслом+оладьи из печени</t>
  </si>
  <si>
    <t>203-282</t>
  </si>
  <si>
    <t>рис припущенный+гуляш из говядины</t>
  </si>
  <si>
    <t>305-246</t>
  </si>
  <si>
    <t xml:space="preserve">День 3                                                                                                                                                ОБЕД </t>
  </si>
  <si>
    <t>салат из свежих помидоров со сладким перцем (замена лечо)</t>
  </si>
  <si>
    <t>салат степной</t>
  </si>
  <si>
    <t>салат из свеклы с сыром и чесноком</t>
  </si>
  <si>
    <t>рис припущеный+бифстроганов из индейки</t>
  </si>
  <si>
    <t>250-305</t>
  </si>
  <si>
    <t>картофель отварной+кура отварная</t>
  </si>
  <si>
    <t>компот из смеси сухофруктов</t>
  </si>
  <si>
    <t xml:space="preserve">День 4                                                                                                                                                ОБЕД </t>
  </si>
  <si>
    <t>салат из капусты с морковью</t>
  </si>
  <si>
    <t>суп лапша домашняя с курицей</t>
  </si>
  <si>
    <t>суп из овощей</t>
  </si>
  <si>
    <t>компот из сухофруктов</t>
  </si>
  <si>
    <t xml:space="preserve">День5                                                                                                                                                  ОБЕД </t>
  </si>
  <si>
    <t>порционные помидоры</t>
  </si>
  <si>
    <t>салат из квашеной капусты с луком</t>
  </si>
  <si>
    <t>свекольник с курицей</t>
  </si>
  <si>
    <t>каша гречневая с маслом+фрикадельки в томатном соусе</t>
  </si>
  <si>
    <t>280-323</t>
  </si>
  <si>
    <t>макароны отварные с маслом+мясо тушеное</t>
  </si>
  <si>
    <t>203-256</t>
  </si>
  <si>
    <t>говядина тушеная с капустой</t>
  </si>
  <si>
    <t xml:space="preserve">Меню свободного выбора 10 – дневное
Для обучающихся  МАОУ "Лицей" г. Усинска
возрастная категория 5-11 класс 
</t>
  </si>
  <si>
    <t xml:space="preserve">Утверждаю 
Директор МАОУ "Лицей" г. Усинска
__________________________  Н.В. Акулова    28.12.2024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</si>
</sst>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4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1" fontId="8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9" fillId="3" borderId="10" xfId="0" applyNumberFormat="1" applyFont="1" applyFill="1" applyBorder="1" applyAlignment="1">
      <alignment horizontal="center" vertical="center" wrapText="1"/>
    </xf>
    <xf numFmtId="0" fontId="9" fillId="3" borderId="11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tabSelected="1" zoomScale="70" zoomScaleNormal="70" workbookViewId="0">
      <selection activeCell="D15" sqref="D15"/>
    </sheetView>
  </sheetViews>
  <sheetFormatPr defaultRowHeight="18.75" x14ac:dyDescent="0.3"/>
  <cols>
    <col min="1" max="1" width="16.42578125" customWidth="1"/>
    <col min="2" max="2" width="27.5703125" style="2" customWidth="1"/>
    <col min="3" max="3" width="18" customWidth="1"/>
    <col min="4" max="4" width="17.28515625" customWidth="1"/>
    <col min="5" max="5" width="14.5703125" customWidth="1"/>
    <col min="6" max="6" width="14.140625" customWidth="1"/>
    <col min="7" max="7" width="21.7109375" style="1" customWidth="1"/>
    <col min="8" max="8" width="18.5703125" customWidth="1"/>
    <col min="9" max="9" width="13.7109375" customWidth="1"/>
    <col min="10" max="11" width="14.5703125" customWidth="1"/>
    <col min="12" max="12" width="17" customWidth="1"/>
    <col min="13" max="13" width="13.140625" customWidth="1"/>
    <col min="14" max="14" width="12.42578125" customWidth="1"/>
    <col min="15" max="15" width="12.140625" customWidth="1"/>
  </cols>
  <sheetData>
    <row r="1" spans="1:14" ht="123.75" customHeight="1" x14ac:dyDescent="0.3">
      <c r="K1" s="105" t="s">
        <v>131</v>
      </c>
      <c r="L1" s="105"/>
      <c r="M1" s="105"/>
      <c r="N1" s="105"/>
    </row>
    <row r="2" spans="1:14" ht="117" customHeight="1" x14ac:dyDescent="0.3">
      <c r="D2" s="105" t="s">
        <v>130</v>
      </c>
      <c r="E2" s="105"/>
      <c r="F2" s="105"/>
      <c r="G2" s="105"/>
      <c r="H2" s="105"/>
      <c r="I2" s="105"/>
    </row>
    <row r="3" spans="1:14" ht="23.25" customHeight="1" x14ac:dyDescent="0.3"/>
    <row r="4" spans="1:14" ht="23.25" customHeight="1" x14ac:dyDescent="0.25">
      <c r="A4" s="5"/>
      <c r="B4" s="5"/>
      <c r="C4" s="6"/>
      <c r="D4" s="84" t="s">
        <v>3</v>
      </c>
      <c r="E4" s="86"/>
      <c r="F4" s="86"/>
      <c r="G4" s="7"/>
      <c r="H4" s="5"/>
      <c r="I4" s="106" t="s">
        <v>14</v>
      </c>
      <c r="J4" s="106"/>
      <c r="K4" s="106"/>
      <c r="L4" s="84" t="s">
        <v>15</v>
      </c>
      <c r="M4" s="84"/>
      <c r="N4" s="84"/>
    </row>
    <row r="5" spans="1:14" ht="54" customHeight="1" x14ac:dyDescent="0.25">
      <c r="A5" s="8" t="s">
        <v>0</v>
      </c>
      <c r="B5" s="8" t="s">
        <v>1</v>
      </c>
      <c r="C5" s="77" t="s">
        <v>2</v>
      </c>
      <c r="D5" s="78" t="s">
        <v>4</v>
      </c>
      <c r="E5" s="78" t="s">
        <v>5</v>
      </c>
      <c r="F5" s="78" t="s">
        <v>6</v>
      </c>
      <c r="G5" s="77" t="s">
        <v>7</v>
      </c>
      <c r="H5" s="9" t="s">
        <v>8</v>
      </c>
      <c r="I5" s="10" t="s">
        <v>16</v>
      </c>
      <c r="J5" s="10" t="s">
        <v>17</v>
      </c>
      <c r="K5" s="10" t="s">
        <v>18</v>
      </c>
      <c r="L5" s="10" t="s">
        <v>19</v>
      </c>
      <c r="M5" s="10" t="s">
        <v>20</v>
      </c>
      <c r="N5" s="10" t="s">
        <v>21</v>
      </c>
    </row>
    <row r="6" spans="1:14" ht="36" customHeight="1" x14ac:dyDescent="0.25">
      <c r="A6" s="107" t="s">
        <v>26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14" ht="65.25" customHeight="1" x14ac:dyDescent="0.25">
      <c r="A7" s="90" t="s">
        <v>41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2"/>
    </row>
    <row r="8" spans="1:14" ht="49.5" customHeight="1" x14ac:dyDescent="0.25">
      <c r="A8" s="96" t="s">
        <v>31</v>
      </c>
      <c r="B8" s="62" t="s">
        <v>29</v>
      </c>
      <c r="C8" s="36">
        <v>100</v>
      </c>
      <c r="D8" s="37">
        <v>1.02</v>
      </c>
      <c r="E8" s="37">
        <v>5.27</v>
      </c>
      <c r="F8" s="37">
        <v>3.06</v>
      </c>
      <c r="G8" s="38">
        <v>65.45</v>
      </c>
      <c r="H8" s="71">
        <v>21</v>
      </c>
      <c r="I8" s="36">
        <v>24.35</v>
      </c>
      <c r="J8" s="36">
        <v>14.6</v>
      </c>
      <c r="K8" s="36">
        <v>0.68</v>
      </c>
      <c r="L8" s="36">
        <v>0.03</v>
      </c>
      <c r="M8" s="36">
        <v>2E-3</v>
      </c>
      <c r="N8" s="36">
        <v>3.79</v>
      </c>
    </row>
    <row r="9" spans="1:14" ht="38.25" customHeight="1" x14ac:dyDescent="0.25">
      <c r="A9" s="97"/>
      <c r="B9" s="62" t="s">
        <v>45</v>
      </c>
      <c r="C9" s="36">
        <v>100</v>
      </c>
      <c r="D9" s="37">
        <v>1.66</v>
      </c>
      <c r="E9" s="37">
        <v>5.15</v>
      </c>
      <c r="F9" s="37">
        <v>9.9600000000000009</v>
      </c>
      <c r="G9" s="38">
        <v>93.12</v>
      </c>
      <c r="H9" s="71">
        <v>45</v>
      </c>
      <c r="I9" s="36">
        <v>61.35</v>
      </c>
      <c r="J9" s="36">
        <v>22.76</v>
      </c>
      <c r="K9" s="36">
        <v>0.99</v>
      </c>
      <c r="L9" s="36">
        <v>0.04</v>
      </c>
      <c r="M9" s="36">
        <v>0.05</v>
      </c>
      <c r="N9" s="36">
        <v>50</v>
      </c>
    </row>
    <row r="10" spans="1:14" ht="34.5" customHeight="1" thickBot="1" x14ac:dyDescent="0.3">
      <c r="A10" s="98"/>
      <c r="B10" s="62" t="s">
        <v>30</v>
      </c>
      <c r="C10" s="36">
        <v>100</v>
      </c>
      <c r="D10" s="37">
        <v>2.72</v>
      </c>
      <c r="E10" s="37">
        <v>7.31</v>
      </c>
      <c r="F10" s="37">
        <v>9.86</v>
      </c>
      <c r="G10" s="38">
        <v>116.11</v>
      </c>
      <c r="H10" s="71">
        <v>40</v>
      </c>
      <c r="I10" s="36">
        <v>23.9</v>
      </c>
      <c r="J10" s="36">
        <v>22.7</v>
      </c>
      <c r="K10" s="36">
        <v>0.93</v>
      </c>
      <c r="L10" s="36">
        <v>0.08</v>
      </c>
      <c r="M10" s="36">
        <v>0.08</v>
      </c>
      <c r="N10" s="36">
        <v>6.35</v>
      </c>
    </row>
    <row r="11" spans="1:14" ht="34.5" customHeight="1" x14ac:dyDescent="0.25">
      <c r="A11" s="99" t="s">
        <v>33</v>
      </c>
      <c r="B11" s="62" t="s">
        <v>32</v>
      </c>
      <c r="C11" s="39">
        <v>250</v>
      </c>
      <c r="D11" s="39">
        <v>6</v>
      </c>
      <c r="E11" s="39">
        <v>9.75</v>
      </c>
      <c r="F11" s="39">
        <v>12.87</v>
      </c>
      <c r="G11" s="40">
        <v>164.12</v>
      </c>
      <c r="H11" s="71">
        <v>82</v>
      </c>
      <c r="I11" s="36">
        <v>28.94</v>
      </c>
      <c r="J11" s="36">
        <v>20.97</v>
      </c>
      <c r="K11" s="36">
        <v>0.95</v>
      </c>
      <c r="L11" s="36">
        <v>0.04</v>
      </c>
      <c r="M11" s="36">
        <v>0.04</v>
      </c>
      <c r="N11" s="36">
        <v>7.94</v>
      </c>
    </row>
    <row r="12" spans="1:14" ht="44.25" customHeight="1" thickBot="1" x14ac:dyDescent="0.3">
      <c r="A12" s="98"/>
      <c r="B12" s="62" t="s">
        <v>43</v>
      </c>
      <c r="C12" s="39">
        <v>250</v>
      </c>
      <c r="D12" s="39">
        <v>9.3699999999999992</v>
      </c>
      <c r="E12" s="39">
        <v>8.25</v>
      </c>
      <c r="F12" s="39">
        <v>19</v>
      </c>
      <c r="G12" s="40">
        <v>187.5</v>
      </c>
      <c r="H12" s="71">
        <v>99</v>
      </c>
      <c r="I12" s="36">
        <v>15.49</v>
      </c>
      <c r="J12" s="36">
        <v>24.01</v>
      </c>
      <c r="K12" s="36">
        <v>0.91</v>
      </c>
      <c r="L12" s="36">
        <v>0.08</v>
      </c>
      <c r="M12" s="36">
        <v>0.06</v>
      </c>
      <c r="N12" s="36">
        <v>7</v>
      </c>
    </row>
    <row r="13" spans="1:14" ht="33.75" customHeight="1" x14ac:dyDescent="0.25">
      <c r="A13" s="100" t="s">
        <v>35</v>
      </c>
      <c r="B13" s="62" t="s">
        <v>34</v>
      </c>
      <c r="C13" s="39">
        <v>200</v>
      </c>
      <c r="D13" s="39">
        <v>20.6</v>
      </c>
      <c r="E13" s="39">
        <v>22.5</v>
      </c>
      <c r="F13" s="39">
        <v>35.700000000000003</v>
      </c>
      <c r="G13" s="40">
        <v>427.3</v>
      </c>
      <c r="H13" s="62">
        <v>291</v>
      </c>
      <c r="I13" s="36">
        <v>22.3</v>
      </c>
      <c r="J13" s="36">
        <v>39.85</v>
      </c>
      <c r="K13" s="36">
        <v>1.9</v>
      </c>
      <c r="L13" s="36">
        <v>7.0000000000000007E-2</v>
      </c>
      <c r="M13" s="36">
        <v>0.01</v>
      </c>
      <c r="N13" s="36">
        <v>0.66</v>
      </c>
    </row>
    <row r="14" spans="1:14" ht="33" customHeight="1" x14ac:dyDescent="0.25">
      <c r="A14" s="101"/>
      <c r="B14" s="62" t="s">
        <v>61</v>
      </c>
      <c r="C14" s="39">
        <v>280</v>
      </c>
      <c r="D14" s="39">
        <v>20.29</v>
      </c>
      <c r="E14" s="39">
        <v>16.739999999999998</v>
      </c>
      <c r="F14" s="39">
        <v>44.68</v>
      </c>
      <c r="G14" s="40">
        <v>426</v>
      </c>
      <c r="H14" s="62" t="s">
        <v>42</v>
      </c>
      <c r="I14" s="36">
        <v>24.76</v>
      </c>
      <c r="J14" s="36">
        <v>36.380000000000003</v>
      </c>
      <c r="K14" s="36">
        <v>10.71</v>
      </c>
      <c r="L14" s="36">
        <v>0.38</v>
      </c>
      <c r="M14" s="36">
        <v>2.62</v>
      </c>
      <c r="N14" s="36">
        <v>16.45</v>
      </c>
    </row>
    <row r="15" spans="1:14" ht="36.75" customHeight="1" thickBot="1" x14ac:dyDescent="0.3">
      <c r="A15" s="102"/>
      <c r="B15" s="62" t="s">
        <v>62</v>
      </c>
      <c r="C15" s="39">
        <v>280</v>
      </c>
      <c r="D15" s="39">
        <v>32.18</v>
      </c>
      <c r="E15" s="39">
        <v>29.66</v>
      </c>
      <c r="F15" s="39">
        <v>10.220000000000001</v>
      </c>
      <c r="G15" s="40">
        <v>681</v>
      </c>
      <c r="H15" s="62" t="s">
        <v>44</v>
      </c>
      <c r="I15" s="36">
        <v>39.549999999999997</v>
      </c>
      <c r="J15" s="36">
        <v>61.53</v>
      </c>
      <c r="K15" s="36">
        <v>5.37</v>
      </c>
      <c r="L15" s="36">
        <v>0.25</v>
      </c>
      <c r="M15" s="36">
        <v>0.28999999999999998</v>
      </c>
      <c r="N15" s="36">
        <v>8.94</v>
      </c>
    </row>
    <row r="16" spans="1:14" ht="39.75" customHeight="1" thickBot="1" x14ac:dyDescent="0.3">
      <c r="A16" s="73"/>
      <c r="B16" s="62" t="s">
        <v>36</v>
      </c>
      <c r="C16" s="36">
        <v>30</v>
      </c>
      <c r="D16" s="41">
        <v>2</v>
      </c>
      <c r="E16" s="41">
        <v>0.3</v>
      </c>
      <c r="F16" s="41">
        <v>12.7</v>
      </c>
      <c r="G16" s="38">
        <v>61.2</v>
      </c>
      <c r="H16" s="72"/>
      <c r="I16" s="37">
        <v>5.4</v>
      </c>
      <c r="J16" s="37">
        <v>5.7</v>
      </c>
      <c r="K16" s="37">
        <v>1.2</v>
      </c>
      <c r="L16" s="37">
        <v>0.05</v>
      </c>
      <c r="M16" s="37">
        <v>0.02</v>
      </c>
      <c r="N16" s="37">
        <v>0</v>
      </c>
    </row>
    <row r="17" spans="1:14" ht="39.75" customHeight="1" thickBot="1" x14ac:dyDescent="0.3">
      <c r="A17" s="73"/>
      <c r="B17" s="62" t="s">
        <v>22</v>
      </c>
      <c r="C17" s="36">
        <v>20</v>
      </c>
      <c r="D17" s="41">
        <v>1.3</v>
      </c>
      <c r="E17" s="41">
        <v>0.2</v>
      </c>
      <c r="F17" s="41">
        <v>8.5</v>
      </c>
      <c r="G17" s="38">
        <v>40.799999999999997</v>
      </c>
      <c r="H17" s="72"/>
      <c r="I17" s="37">
        <v>3.6</v>
      </c>
      <c r="J17" s="37">
        <v>17.399999999999999</v>
      </c>
      <c r="K17" s="37">
        <v>0.8</v>
      </c>
      <c r="L17" s="37">
        <v>0.04</v>
      </c>
      <c r="M17" s="37">
        <v>0.02</v>
      </c>
      <c r="N17" s="37">
        <v>0</v>
      </c>
    </row>
    <row r="18" spans="1:14" ht="15" x14ac:dyDescent="0.25">
      <c r="A18" s="103" t="s">
        <v>40</v>
      </c>
      <c r="B18" s="62" t="s">
        <v>38</v>
      </c>
      <c r="C18" s="36">
        <v>200</v>
      </c>
      <c r="D18" s="41">
        <v>0</v>
      </c>
      <c r="E18" s="41">
        <v>0</v>
      </c>
      <c r="F18" s="41">
        <v>19.399999999999999</v>
      </c>
      <c r="G18" s="38">
        <v>77.400000000000006</v>
      </c>
      <c r="H18" s="72">
        <v>349</v>
      </c>
      <c r="I18" s="37">
        <v>8.4600000000000009</v>
      </c>
      <c r="J18" s="37">
        <v>1.8</v>
      </c>
      <c r="K18" s="37">
        <v>0</v>
      </c>
      <c r="L18" s="37">
        <v>0.03</v>
      </c>
      <c r="M18" s="37">
        <v>0.02</v>
      </c>
      <c r="N18" s="37">
        <v>0</v>
      </c>
    </row>
    <row r="19" spans="1:14" ht="29.25" customHeight="1" thickBot="1" x14ac:dyDescent="0.3">
      <c r="A19" s="104"/>
      <c r="B19" s="62" t="s">
        <v>37</v>
      </c>
      <c r="C19" s="39">
        <v>200</v>
      </c>
      <c r="D19" s="42">
        <v>0.2</v>
      </c>
      <c r="E19" s="42">
        <v>0</v>
      </c>
      <c r="F19" s="42">
        <v>14.9</v>
      </c>
      <c r="G19" s="38">
        <v>61.6</v>
      </c>
      <c r="H19" s="71">
        <v>377</v>
      </c>
      <c r="I19" s="37">
        <v>13.29</v>
      </c>
      <c r="J19" s="37">
        <v>10.99</v>
      </c>
      <c r="K19" s="37">
        <v>0.1</v>
      </c>
      <c r="L19" s="37">
        <v>0.06</v>
      </c>
      <c r="M19" s="37">
        <v>0.24</v>
      </c>
      <c r="N19" s="43">
        <v>1</v>
      </c>
    </row>
    <row r="20" spans="1:14" ht="18.75" hidden="1" customHeight="1" x14ac:dyDescent="0.3">
      <c r="A20" s="73"/>
      <c r="B20" s="63" t="s">
        <v>39</v>
      </c>
      <c r="C20" s="44">
        <v>60</v>
      </c>
      <c r="D20" s="44">
        <v>1.7</v>
      </c>
      <c r="E20" s="44">
        <v>2</v>
      </c>
      <c r="F20" s="44">
        <v>46.4</v>
      </c>
      <c r="G20" s="45">
        <v>212.4</v>
      </c>
      <c r="H20" s="72"/>
      <c r="I20" s="36">
        <v>9.6</v>
      </c>
      <c r="J20" s="36">
        <v>6</v>
      </c>
      <c r="K20" s="36">
        <v>0.9</v>
      </c>
      <c r="L20" s="36">
        <v>0.02</v>
      </c>
      <c r="M20" s="36">
        <v>0.02</v>
      </c>
      <c r="N20" s="36">
        <v>0</v>
      </c>
    </row>
    <row r="21" spans="1:14" ht="18.75" hidden="1" customHeight="1" x14ac:dyDescent="0.25">
      <c r="A21" s="79"/>
      <c r="B21" s="54"/>
      <c r="C21" s="57"/>
      <c r="D21" s="57"/>
      <c r="E21" s="57"/>
      <c r="F21" s="57"/>
      <c r="G21" s="54"/>
      <c r="H21" s="57"/>
      <c r="I21" s="47"/>
      <c r="J21" s="47"/>
      <c r="K21" s="47"/>
      <c r="L21" s="47"/>
      <c r="M21" s="47"/>
      <c r="N21" s="47"/>
    </row>
    <row r="22" spans="1:14" ht="18.75" hidden="1" customHeight="1" x14ac:dyDescent="0.25">
      <c r="A22" s="79"/>
      <c r="B22" s="78" t="s">
        <v>9</v>
      </c>
      <c r="C22" s="78">
        <f>SUM(C8:C21)</f>
        <v>2070</v>
      </c>
      <c r="D22" s="78">
        <f>SUM(D8:D21)</f>
        <v>99.04</v>
      </c>
      <c r="E22" s="78">
        <f>SUM(E8:E21)</f>
        <v>107.13</v>
      </c>
      <c r="F22" s="78">
        <f>SUM(F8:F21)</f>
        <v>247.25</v>
      </c>
      <c r="G22" s="77">
        <f>SUM(G8:G21)</f>
        <v>2614</v>
      </c>
      <c r="H22" s="79"/>
      <c r="I22" s="17">
        <f>SUM(I8:I21)</f>
        <v>280.99</v>
      </c>
      <c r="J22" s="17">
        <f t="shared" ref="J22:N22" si="0">SUM(J8:J21)</f>
        <v>284.69</v>
      </c>
      <c r="K22" s="17">
        <f t="shared" si="0"/>
        <v>25.44</v>
      </c>
      <c r="L22" s="17">
        <f t="shared" si="0"/>
        <v>1.1700000000000002</v>
      </c>
      <c r="M22" s="17">
        <f t="shared" si="0"/>
        <v>3.472</v>
      </c>
      <c r="N22" s="17">
        <f t="shared" si="0"/>
        <v>102.13</v>
      </c>
    </row>
    <row r="23" spans="1:14" ht="18.75" hidden="1" customHeight="1" x14ac:dyDescent="0.25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/>
    </row>
    <row r="24" spans="1:14" ht="16.5" hidden="1" customHeight="1" x14ac:dyDescent="0.25">
      <c r="A24" s="18"/>
      <c r="B24" s="18"/>
      <c r="C24" s="18"/>
      <c r="D24" s="18"/>
      <c r="E24" s="18"/>
      <c r="F24" s="18"/>
      <c r="G24" s="7"/>
      <c r="H24" s="18"/>
      <c r="I24" s="19"/>
      <c r="J24" s="19"/>
      <c r="K24" s="19"/>
      <c r="L24" s="19"/>
      <c r="M24" s="19"/>
      <c r="N24" s="19"/>
    </row>
    <row r="25" spans="1:14" ht="18.75" hidden="1" customHeight="1" x14ac:dyDescent="0.25">
      <c r="A25" s="18"/>
      <c r="B25" s="18"/>
      <c r="C25" s="18"/>
      <c r="D25" s="18"/>
      <c r="E25" s="18"/>
      <c r="F25" s="18"/>
      <c r="G25" s="7"/>
      <c r="H25" s="18"/>
      <c r="I25" s="19"/>
      <c r="J25" s="19"/>
      <c r="K25" s="19"/>
      <c r="L25" s="19"/>
      <c r="M25" s="19"/>
      <c r="N25" s="19"/>
    </row>
    <row r="26" spans="1:14" ht="18.75" hidden="1" customHeight="1" x14ac:dyDescent="0.25">
      <c r="A26" s="18"/>
      <c r="B26" s="18"/>
      <c r="C26" s="18"/>
      <c r="D26" s="18"/>
      <c r="E26" s="18"/>
      <c r="F26" s="18"/>
      <c r="G26" s="7"/>
      <c r="H26" s="18"/>
      <c r="I26" s="19"/>
      <c r="J26" s="19"/>
      <c r="K26" s="19"/>
      <c r="L26" s="19"/>
      <c r="M26" s="19"/>
      <c r="N26" s="19"/>
    </row>
    <row r="27" spans="1:14" ht="18.75" hidden="1" customHeight="1" x14ac:dyDescent="0.25">
      <c r="A27" s="18"/>
      <c r="B27" s="18"/>
      <c r="C27" s="18"/>
      <c r="D27" s="18"/>
      <c r="E27" s="18"/>
      <c r="F27" s="18"/>
      <c r="G27" s="7"/>
      <c r="H27" s="18"/>
      <c r="I27" s="19"/>
      <c r="J27" s="19"/>
      <c r="K27" s="19"/>
      <c r="L27" s="19"/>
      <c r="M27" s="19"/>
      <c r="N27" s="19"/>
    </row>
    <row r="28" spans="1:14" ht="18.75" hidden="1" customHeight="1" x14ac:dyDescent="0.25">
      <c r="A28" s="18"/>
      <c r="B28" s="18"/>
      <c r="C28" s="18"/>
      <c r="D28" s="18"/>
      <c r="E28" s="18"/>
      <c r="F28" s="18"/>
      <c r="G28" s="7"/>
      <c r="H28" s="18"/>
      <c r="I28" s="19"/>
      <c r="J28" s="19"/>
      <c r="K28" s="19"/>
      <c r="L28" s="19"/>
      <c r="M28" s="19"/>
      <c r="N28" s="19"/>
    </row>
    <row r="29" spans="1:14" ht="18.75" hidden="1" customHeight="1" x14ac:dyDescent="0.25">
      <c r="A29" s="18"/>
      <c r="B29" s="18"/>
      <c r="C29" s="18"/>
      <c r="D29" s="18"/>
      <c r="E29" s="18"/>
      <c r="F29" s="18"/>
      <c r="G29" s="7"/>
      <c r="H29" s="18"/>
      <c r="I29" s="19"/>
      <c r="J29" s="19"/>
      <c r="K29" s="19"/>
      <c r="L29" s="19"/>
      <c r="M29" s="19"/>
      <c r="N29" s="19"/>
    </row>
    <row r="30" spans="1:14" ht="18.75" hidden="1" customHeight="1" x14ac:dyDescent="0.25">
      <c r="A30" s="18"/>
      <c r="B30" s="18"/>
      <c r="C30" s="18"/>
      <c r="D30" s="18"/>
      <c r="E30" s="18"/>
      <c r="F30" s="18"/>
      <c r="G30" s="7"/>
      <c r="H30" s="18"/>
      <c r="I30" s="19"/>
      <c r="J30" s="19"/>
      <c r="K30" s="19"/>
      <c r="L30" s="19"/>
      <c r="M30" s="19"/>
      <c r="N30" s="19"/>
    </row>
    <row r="31" spans="1:14" ht="30" customHeight="1" x14ac:dyDescent="0.25">
      <c r="A31" s="18"/>
      <c r="B31" s="18"/>
      <c r="C31" s="18"/>
      <c r="D31" s="18"/>
      <c r="E31" s="18"/>
      <c r="F31" s="18"/>
      <c r="G31" s="7"/>
      <c r="H31" s="18"/>
      <c r="I31" s="19"/>
      <c r="J31" s="19"/>
      <c r="K31" s="19"/>
      <c r="L31" s="19"/>
      <c r="M31" s="19"/>
      <c r="N31" s="19"/>
    </row>
    <row r="32" spans="1:14" ht="30" customHeight="1" x14ac:dyDescent="0.25">
      <c r="A32" s="18"/>
      <c r="B32" s="18"/>
      <c r="C32" s="18"/>
      <c r="D32" s="18"/>
      <c r="E32" s="18"/>
      <c r="F32" s="18"/>
      <c r="G32" s="7"/>
      <c r="H32" s="18"/>
      <c r="I32" s="19"/>
      <c r="J32" s="19"/>
      <c r="K32" s="19"/>
      <c r="L32" s="19"/>
      <c r="M32" s="19"/>
      <c r="N32" s="19"/>
    </row>
    <row r="33" spans="1:14" ht="42" customHeight="1" x14ac:dyDescent="0.25">
      <c r="A33" s="5"/>
      <c r="B33" s="5"/>
      <c r="C33" s="6"/>
      <c r="D33" s="84" t="s">
        <v>3</v>
      </c>
      <c r="E33" s="86"/>
      <c r="F33" s="86"/>
      <c r="G33" s="7"/>
      <c r="H33" s="5"/>
      <c r="I33" s="84" t="s">
        <v>14</v>
      </c>
      <c r="J33" s="84"/>
      <c r="K33" s="84"/>
      <c r="L33" s="84" t="s">
        <v>15</v>
      </c>
      <c r="M33" s="84"/>
      <c r="N33" s="84"/>
    </row>
    <row r="34" spans="1:14" ht="41.25" customHeight="1" x14ac:dyDescent="0.25">
      <c r="A34" s="8" t="s">
        <v>0</v>
      </c>
      <c r="B34" s="8" t="s">
        <v>1</v>
      </c>
      <c r="C34" s="77" t="s">
        <v>2</v>
      </c>
      <c r="D34" s="78" t="s">
        <v>4</v>
      </c>
      <c r="E34" s="78" t="s">
        <v>5</v>
      </c>
      <c r="F34" s="78" t="s">
        <v>6</v>
      </c>
      <c r="G34" s="77" t="s">
        <v>7</v>
      </c>
      <c r="H34" s="9" t="s">
        <v>8</v>
      </c>
      <c r="I34" s="10" t="s">
        <v>16</v>
      </c>
      <c r="J34" s="10" t="s">
        <v>17</v>
      </c>
      <c r="K34" s="10" t="s">
        <v>18</v>
      </c>
      <c r="L34" s="10" t="s">
        <v>19</v>
      </c>
      <c r="M34" s="10" t="s">
        <v>20</v>
      </c>
      <c r="N34" s="10" t="s">
        <v>21</v>
      </c>
    </row>
    <row r="35" spans="1:14" ht="39" customHeight="1" x14ac:dyDescent="0.25">
      <c r="A35" s="85" t="s">
        <v>26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1:14" ht="54.75" customHeight="1" x14ac:dyDescent="0.25">
      <c r="A36" s="83" t="s">
        <v>46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1:14" ht="42.75" customHeight="1" x14ac:dyDescent="0.25">
      <c r="A37" s="87" t="s">
        <v>31</v>
      </c>
      <c r="B37" s="53" t="s">
        <v>47</v>
      </c>
      <c r="C37" s="36">
        <v>100</v>
      </c>
      <c r="D37" s="37">
        <v>1.33</v>
      </c>
      <c r="E37" s="37">
        <v>6.14</v>
      </c>
      <c r="F37" s="37">
        <v>8.3000000000000007</v>
      </c>
      <c r="G37" s="48">
        <v>93.1</v>
      </c>
      <c r="H37" s="56">
        <v>33</v>
      </c>
      <c r="I37" s="36">
        <v>34.61</v>
      </c>
      <c r="J37" s="36">
        <v>18.649999999999999</v>
      </c>
      <c r="K37" s="36">
        <v>1.2</v>
      </c>
      <c r="L37" s="36">
        <v>0.01</v>
      </c>
      <c r="M37" s="36">
        <v>0.03</v>
      </c>
      <c r="N37" s="36">
        <v>1.86</v>
      </c>
    </row>
    <row r="38" spans="1:14" ht="54.75" customHeight="1" x14ac:dyDescent="0.25">
      <c r="A38" s="88"/>
      <c r="B38" s="53" t="s">
        <v>48</v>
      </c>
      <c r="C38" s="36">
        <v>100</v>
      </c>
      <c r="D38" s="37">
        <v>1.1599999999999999</v>
      </c>
      <c r="E38" s="37">
        <v>6.14</v>
      </c>
      <c r="F38" s="37">
        <v>4.6500000000000004</v>
      </c>
      <c r="G38" s="48">
        <v>80.34</v>
      </c>
      <c r="H38" s="56" t="s">
        <v>23</v>
      </c>
      <c r="I38" s="36">
        <v>22.71</v>
      </c>
      <c r="J38" s="36">
        <v>15.63</v>
      </c>
      <c r="K38" s="36">
        <v>0.78</v>
      </c>
      <c r="L38" s="36">
        <v>0.96</v>
      </c>
      <c r="M38" s="36">
        <v>0.06</v>
      </c>
      <c r="N38" s="36">
        <v>57.46</v>
      </c>
    </row>
    <row r="39" spans="1:14" ht="54.75" customHeight="1" x14ac:dyDescent="0.25">
      <c r="A39" s="89"/>
      <c r="B39" s="53" t="s">
        <v>49</v>
      </c>
      <c r="C39" s="36">
        <v>100</v>
      </c>
      <c r="D39" s="37">
        <v>1.66</v>
      </c>
      <c r="E39" s="37">
        <v>6.14</v>
      </c>
      <c r="F39" s="37">
        <v>9.4600000000000009</v>
      </c>
      <c r="G39" s="48">
        <v>99.6</v>
      </c>
      <c r="H39" s="56">
        <v>49</v>
      </c>
      <c r="I39" s="36">
        <v>31.97</v>
      </c>
      <c r="J39" s="36">
        <v>16.64</v>
      </c>
      <c r="K39" s="36">
        <v>0.57999999999999996</v>
      </c>
      <c r="L39" s="36">
        <v>0.06</v>
      </c>
      <c r="M39" s="36">
        <v>0.06</v>
      </c>
      <c r="N39" s="36">
        <v>32.9</v>
      </c>
    </row>
    <row r="40" spans="1:14" ht="60.75" customHeight="1" x14ac:dyDescent="0.25">
      <c r="A40" s="87" t="s">
        <v>33</v>
      </c>
      <c r="B40" s="53" t="s">
        <v>50</v>
      </c>
      <c r="C40" s="36">
        <v>250</v>
      </c>
      <c r="D40" s="41">
        <v>8</v>
      </c>
      <c r="E40" s="36">
        <v>9.3699999999999992</v>
      </c>
      <c r="F40" s="36">
        <v>23</v>
      </c>
      <c r="G40" s="40">
        <v>208</v>
      </c>
      <c r="H40" s="56">
        <v>108</v>
      </c>
      <c r="I40" s="36">
        <v>14.67</v>
      </c>
      <c r="J40" s="36">
        <v>19.16</v>
      </c>
      <c r="K40" s="36">
        <v>0.8</v>
      </c>
      <c r="L40" s="36">
        <v>7.0000000000000007E-2</v>
      </c>
      <c r="M40" s="36">
        <v>0.06</v>
      </c>
      <c r="N40" s="36">
        <v>5.52</v>
      </c>
    </row>
    <row r="41" spans="1:14" ht="49.5" customHeight="1" x14ac:dyDescent="0.25">
      <c r="A41" s="89"/>
      <c r="B41" s="53" t="s">
        <v>51</v>
      </c>
      <c r="C41" s="36">
        <v>250</v>
      </c>
      <c r="D41" s="41">
        <v>5.75</v>
      </c>
      <c r="E41" s="36">
        <v>9</v>
      </c>
      <c r="F41" s="36">
        <v>9</v>
      </c>
      <c r="G41" s="40">
        <v>141.13</v>
      </c>
      <c r="H41" s="56">
        <v>88</v>
      </c>
      <c r="I41" s="36">
        <v>31.82</v>
      </c>
      <c r="J41" s="36">
        <v>19.09</v>
      </c>
      <c r="K41" s="36">
        <v>0.7</v>
      </c>
      <c r="L41" s="36">
        <v>0.05</v>
      </c>
      <c r="M41" s="36">
        <v>0.04</v>
      </c>
      <c r="N41" s="36">
        <v>12</v>
      </c>
    </row>
    <row r="42" spans="1:14" ht="34.5" customHeight="1" x14ac:dyDescent="0.25">
      <c r="A42" s="87" t="s">
        <v>35</v>
      </c>
      <c r="B42" s="53" t="s">
        <v>59</v>
      </c>
      <c r="C42" s="36">
        <v>280</v>
      </c>
      <c r="D42" s="37">
        <v>19.61</v>
      </c>
      <c r="E42" s="37">
        <v>22.79</v>
      </c>
      <c r="F42" s="37">
        <v>49.64</v>
      </c>
      <c r="G42" s="48">
        <v>569</v>
      </c>
      <c r="H42" s="56" t="s">
        <v>52</v>
      </c>
      <c r="I42" s="36">
        <v>29.38</v>
      </c>
      <c r="J42" s="36">
        <v>179.29</v>
      </c>
      <c r="K42" s="36">
        <v>7.43</v>
      </c>
      <c r="L42" s="36">
        <v>0.35</v>
      </c>
      <c r="M42" s="36">
        <v>0.24</v>
      </c>
      <c r="N42" s="36">
        <v>1.02</v>
      </c>
    </row>
    <row r="43" spans="1:14" ht="36" customHeight="1" x14ac:dyDescent="0.25">
      <c r="A43" s="110"/>
      <c r="B43" s="53" t="s">
        <v>60</v>
      </c>
      <c r="C43" s="36">
        <v>280</v>
      </c>
      <c r="D43" s="37">
        <f>3.48+18.5</f>
        <v>21.98</v>
      </c>
      <c r="E43" s="37">
        <f>26.29+7.56</f>
        <v>33.85</v>
      </c>
      <c r="F43" s="37">
        <f>9.72+8.91</f>
        <v>18.630000000000003</v>
      </c>
      <c r="G43" s="48">
        <f>344.63+375.96</f>
        <v>720.58999999999992</v>
      </c>
      <c r="H43" s="56" t="s">
        <v>56</v>
      </c>
      <c r="I43" s="36">
        <f>43.35+16.88</f>
        <v>60.230000000000004</v>
      </c>
      <c r="J43" s="36">
        <f>37.73+35.77</f>
        <v>73.5</v>
      </c>
      <c r="K43" s="36">
        <f>1.85+1.48</f>
        <v>3.33</v>
      </c>
      <c r="L43" s="36">
        <f>0.15+0.08</f>
        <v>0.22999999999999998</v>
      </c>
      <c r="M43" s="36">
        <f>0.15+0.1</f>
        <v>0.25</v>
      </c>
      <c r="N43" s="36">
        <f>7.29+0.38</f>
        <v>7.67</v>
      </c>
    </row>
    <row r="44" spans="1:14" ht="36.75" customHeight="1" x14ac:dyDescent="0.25">
      <c r="A44" s="111"/>
      <c r="B44" s="53" t="s">
        <v>53</v>
      </c>
      <c r="C44" s="36">
        <v>280</v>
      </c>
      <c r="D44" s="37">
        <f>8.65+5.04</f>
        <v>13.690000000000001</v>
      </c>
      <c r="E44" s="37">
        <f>8.62+8.65</f>
        <v>17.27</v>
      </c>
      <c r="F44" s="37">
        <f>1.76+49.2</f>
        <v>50.96</v>
      </c>
      <c r="G44" s="48">
        <f>295.2+76.34</f>
        <v>371.53999999999996</v>
      </c>
      <c r="H44" s="56" t="s">
        <v>57</v>
      </c>
      <c r="I44" s="36">
        <f>5.48+41.96</f>
        <v>47.44</v>
      </c>
      <c r="J44" s="36">
        <f>28.74+29.94</f>
        <v>58.68</v>
      </c>
      <c r="K44" s="36">
        <f>0.62+1</f>
        <v>1.62</v>
      </c>
      <c r="L44" s="36">
        <f>0.15+0.04</f>
        <v>0.19</v>
      </c>
      <c r="M44" s="36">
        <f>0.03+0.15</f>
        <v>0.18</v>
      </c>
      <c r="N44" s="36">
        <f>3.98+2</f>
        <v>5.98</v>
      </c>
    </row>
    <row r="45" spans="1:14" ht="35.25" customHeight="1" x14ac:dyDescent="0.25">
      <c r="A45" s="79"/>
      <c r="B45" s="53" t="s">
        <v>36</v>
      </c>
      <c r="C45" s="36">
        <v>30</v>
      </c>
      <c r="D45" s="37">
        <v>2</v>
      </c>
      <c r="E45" s="37">
        <v>0.3</v>
      </c>
      <c r="F45" s="37">
        <v>12.7</v>
      </c>
      <c r="G45" s="48">
        <v>61.2</v>
      </c>
      <c r="H45" s="61"/>
      <c r="I45" s="37">
        <v>5.4</v>
      </c>
      <c r="J45" s="37">
        <v>5.7</v>
      </c>
      <c r="K45" s="37">
        <v>1.2</v>
      </c>
      <c r="L45" s="37">
        <v>0.05</v>
      </c>
      <c r="M45" s="37">
        <v>0.02</v>
      </c>
      <c r="N45" s="37">
        <v>0</v>
      </c>
    </row>
    <row r="46" spans="1:14" ht="37.5" customHeight="1" x14ac:dyDescent="0.25">
      <c r="A46" s="79"/>
      <c r="B46" s="53" t="s">
        <v>22</v>
      </c>
      <c r="C46" s="39">
        <v>20</v>
      </c>
      <c r="D46" s="49">
        <v>1.5</v>
      </c>
      <c r="E46" s="49">
        <v>0.1</v>
      </c>
      <c r="F46" s="49">
        <v>10</v>
      </c>
      <c r="G46" s="48">
        <v>47.4</v>
      </c>
      <c r="H46" s="61"/>
      <c r="I46" s="37">
        <v>3.6</v>
      </c>
      <c r="J46" s="37">
        <v>17.399999999999999</v>
      </c>
      <c r="K46" s="37">
        <v>0.8</v>
      </c>
      <c r="L46" s="37">
        <v>0.04</v>
      </c>
      <c r="M46" s="37">
        <v>0.02</v>
      </c>
      <c r="N46" s="37">
        <v>0</v>
      </c>
    </row>
    <row r="47" spans="1:14" ht="15.75" x14ac:dyDescent="0.25">
      <c r="A47" s="46" t="s">
        <v>40</v>
      </c>
      <c r="B47" s="53" t="s">
        <v>54</v>
      </c>
      <c r="C47" s="39">
        <v>200</v>
      </c>
      <c r="D47" s="49">
        <v>0.2</v>
      </c>
      <c r="E47" s="49">
        <v>0.1</v>
      </c>
      <c r="F47" s="49">
        <v>15</v>
      </c>
      <c r="G47" s="48">
        <v>60</v>
      </c>
      <c r="H47" s="56">
        <v>430</v>
      </c>
      <c r="I47" s="36">
        <v>0.26</v>
      </c>
      <c r="J47" s="36">
        <v>0</v>
      </c>
      <c r="K47" s="36">
        <v>0.03</v>
      </c>
      <c r="L47" s="36">
        <v>0</v>
      </c>
      <c r="M47" s="36">
        <v>0</v>
      </c>
      <c r="N47" s="36">
        <v>0</v>
      </c>
    </row>
    <row r="48" spans="1:14" ht="34.5" customHeight="1" x14ac:dyDescent="0.25">
      <c r="A48" s="79"/>
      <c r="B48" s="74" t="s">
        <v>55</v>
      </c>
      <c r="C48" s="44">
        <v>100</v>
      </c>
      <c r="D48" s="44">
        <v>0.4</v>
      </c>
      <c r="E48" s="44">
        <v>0.4</v>
      </c>
      <c r="F48" s="44">
        <v>9.8000000000000007</v>
      </c>
      <c r="G48" s="45">
        <v>47</v>
      </c>
      <c r="H48" s="36"/>
      <c r="I48" s="36">
        <v>16</v>
      </c>
      <c r="J48" s="36">
        <v>8</v>
      </c>
      <c r="K48" s="36">
        <v>2.2000000000000002</v>
      </c>
      <c r="L48" s="36">
        <v>0.03</v>
      </c>
      <c r="M48" s="36">
        <v>0.02</v>
      </c>
      <c r="N48" s="36">
        <v>10</v>
      </c>
    </row>
    <row r="49" spans="1:14" ht="18.75" hidden="1" customHeight="1" x14ac:dyDescent="0.25">
      <c r="A49" s="79"/>
      <c r="B49" s="81" t="s">
        <v>9</v>
      </c>
      <c r="C49" s="81">
        <f>SUM(C37:C48)</f>
        <v>1990</v>
      </c>
      <c r="D49" s="81">
        <f>SUM(D37:D48)</f>
        <v>77.28</v>
      </c>
      <c r="E49" s="81">
        <f>SUM(E37:E48)</f>
        <v>111.6</v>
      </c>
      <c r="F49" s="81">
        <f>SUM(F37:F48)</f>
        <v>221.14000000000001</v>
      </c>
      <c r="G49" s="8">
        <f>SUM(G37:G48)</f>
        <v>2498.9</v>
      </c>
      <c r="H49" s="76"/>
      <c r="I49" s="82">
        <f t="shared" ref="I49:N49" si="1">SUM(I37:I48)</f>
        <v>298.08999999999997</v>
      </c>
      <c r="J49" s="81">
        <f t="shared" si="1"/>
        <v>431.73999999999995</v>
      </c>
      <c r="K49" s="81">
        <f t="shared" si="1"/>
        <v>20.67</v>
      </c>
      <c r="L49" s="81">
        <f t="shared" si="1"/>
        <v>2.0399999999999996</v>
      </c>
      <c r="M49" s="81">
        <f t="shared" si="1"/>
        <v>0.98</v>
      </c>
      <c r="N49" s="81">
        <f t="shared" si="1"/>
        <v>134.41</v>
      </c>
    </row>
    <row r="50" spans="1:14" ht="18.75" hidden="1" customHeight="1" x14ac:dyDescent="0.25">
      <c r="A50" s="18"/>
      <c r="B50" s="18"/>
      <c r="C50" s="18"/>
      <c r="D50" s="18"/>
      <c r="E50" s="18"/>
      <c r="F50" s="18"/>
      <c r="G50" s="7"/>
      <c r="H50" s="18"/>
      <c r="I50" s="19"/>
      <c r="J50" s="19"/>
      <c r="K50" s="19"/>
      <c r="L50" s="19"/>
      <c r="M50" s="19"/>
      <c r="N50" s="19"/>
    </row>
    <row r="51" spans="1:14" ht="18.75" hidden="1" customHeight="1" x14ac:dyDescent="0.25">
      <c r="A51" s="18"/>
      <c r="B51" s="18"/>
      <c r="C51" s="18"/>
      <c r="D51" s="18"/>
      <c r="E51" s="18"/>
      <c r="F51" s="18"/>
      <c r="G51" s="7"/>
      <c r="H51" s="18"/>
      <c r="I51" s="19"/>
      <c r="J51" s="19"/>
      <c r="K51" s="19"/>
      <c r="L51" s="19"/>
      <c r="M51" s="19"/>
      <c r="N51" s="19"/>
    </row>
    <row r="52" spans="1:14" ht="18.75" hidden="1" customHeight="1" x14ac:dyDescent="0.25">
      <c r="A52" s="18"/>
      <c r="B52" s="18"/>
      <c r="C52" s="18"/>
      <c r="D52" s="18"/>
      <c r="E52" s="18"/>
      <c r="F52" s="18"/>
      <c r="G52" s="7"/>
      <c r="H52" s="18"/>
      <c r="I52" s="19"/>
      <c r="J52" s="19"/>
      <c r="K52" s="19"/>
      <c r="L52" s="19"/>
      <c r="M52" s="19"/>
      <c r="N52" s="19"/>
    </row>
    <row r="53" spans="1:14" ht="18.75" hidden="1" customHeight="1" x14ac:dyDescent="0.25">
      <c r="A53" s="18"/>
      <c r="B53" s="18"/>
      <c r="C53" s="18"/>
      <c r="D53" s="18"/>
      <c r="E53" s="18"/>
      <c r="F53" s="18"/>
      <c r="G53" s="7"/>
      <c r="H53" s="18"/>
      <c r="I53" s="19"/>
      <c r="J53" s="19"/>
      <c r="K53" s="19"/>
      <c r="L53" s="19"/>
      <c r="M53" s="19"/>
      <c r="N53" s="19"/>
    </row>
    <row r="54" spans="1:14" ht="18.75" hidden="1" customHeight="1" x14ac:dyDescent="0.25">
      <c r="A54" s="18"/>
      <c r="B54" s="18"/>
      <c r="C54" s="18"/>
      <c r="D54" s="18"/>
      <c r="E54" s="18"/>
      <c r="F54" s="18"/>
      <c r="G54" s="7"/>
      <c r="H54" s="18"/>
      <c r="I54" s="19"/>
      <c r="J54" s="19"/>
      <c r="K54" s="19"/>
      <c r="L54" s="19"/>
      <c r="M54" s="19"/>
      <c r="N54" s="19"/>
    </row>
    <row r="55" spans="1:14" ht="18.75" hidden="1" customHeight="1" x14ac:dyDescent="0.25">
      <c r="A55" s="18"/>
      <c r="B55" s="18"/>
      <c r="C55" s="18"/>
      <c r="D55" s="18"/>
      <c r="E55" s="18"/>
      <c r="F55" s="18"/>
      <c r="G55" s="7"/>
      <c r="H55" s="18"/>
      <c r="I55" s="19"/>
      <c r="J55" s="19"/>
      <c r="K55" s="19"/>
      <c r="L55" s="19"/>
      <c r="M55" s="19"/>
      <c r="N55" s="19"/>
    </row>
    <row r="56" spans="1:14" ht="18.75" hidden="1" customHeight="1" x14ac:dyDescent="0.25">
      <c r="A56" s="18"/>
      <c r="B56" s="18"/>
      <c r="C56" s="18"/>
      <c r="D56" s="18"/>
      <c r="E56" s="18"/>
      <c r="F56" s="18"/>
      <c r="G56" s="7"/>
      <c r="H56" s="18"/>
      <c r="I56" s="19"/>
      <c r="J56" s="19"/>
      <c r="K56" s="19"/>
      <c r="L56" s="19"/>
      <c r="M56" s="19"/>
      <c r="N56" s="19"/>
    </row>
    <row r="57" spans="1:14" ht="18.75" hidden="1" customHeight="1" x14ac:dyDescent="0.25">
      <c r="A57" s="18"/>
      <c r="B57" s="18"/>
      <c r="C57" s="18"/>
      <c r="D57" s="18"/>
      <c r="E57" s="18"/>
      <c r="F57" s="18"/>
      <c r="G57" s="7"/>
      <c r="H57" s="18"/>
      <c r="I57" s="19"/>
      <c r="J57" s="19"/>
      <c r="K57" s="19"/>
      <c r="L57" s="19"/>
      <c r="M57" s="19"/>
      <c r="N57" s="19"/>
    </row>
    <row r="58" spans="1:14" ht="18.75" hidden="1" customHeight="1" x14ac:dyDescent="0.25">
      <c r="A58" s="18"/>
      <c r="B58" s="18"/>
      <c r="C58" s="18"/>
      <c r="D58" s="18"/>
      <c r="E58" s="18"/>
      <c r="F58" s="18"/>
      <c r="G58" s="7"/>
      <c r="H58" s="18"/>
      <c r="I58" s="19"/>
      <c r="J58" s="19"/>
      <c r="K58" s="19"/>
      <c r="L58" s="19"/>
      <c r="M58" s="19"/>
      <c r="N58" s="19"/>
    </row>
    <row r="59" spans="1:14" ht="18.75" hidden="1" customHeight="1" x14ac:dyDescent="0.25">
      <c r="A59" s="18"/>
      <c r="B59" s="18"/>
      <c r="C59" s="18"/>
      <c r="D59" s="18"/>
      <c r="E59" s="18"/>
      <c r="F59" s="18"/>
      <c r="G59" s="7"/>
      <c r="H59" s="18"/>
      <c r="I59" s="19"/>
      <c r="J59" s="19"/>
      <c r="K59" s="19"/>
      <c r="L59" s="19"/>
      <c r="M59" s="19"/>
      <c r="N59" s="19"/>
    </row>
    <row r="60" spans="1:14" ht="18.75" hidden="1" customHeight="1" x14ac:dyDescent="0.25">
      <c r="A60" s="18"/>
      <c r="B60" s="18"/>
      <c r="C60" s="18"/>
      <c r="D60" s="18"/>
      <c r="E60" s="18"/>
      <c r="F60" s="18"/>
      <c r="G60" s="7"/>
      <c r="H60" s="18"/>
      <c r="I60" s="19"/>
      <c r="J60" s="19"/>
      <c r="K60" s="19"/>
      <c r="L60" s="19"/>
      <c r="M60" s="19"/>
      <c r="N60" s="19"/>
    </row>
    <row r="61" spans="1:14" ht="36" customHeight="1" x14ac:dyDescent="0.25">
      <c r="A61" s="18"/>
      <c r="B61" s="18"/>
      <c r="C61" s="18"/>
      <c r="D61" s="18"/>
      <c r="E61" s="18"/>
      <c r="F61" s="18"/>
      <c r="G61" s="7"/>
      <c r="H61" s="18"/>
      <c r="I61" s="19"/>
      <c r="J61" s="19"/>
      <c r="K61" s="19"/>
      <c r="L61" s="19"/>
      <c r="M61" s="19"/>
      <c r="N61" s="19"/>
    </row>
    <row r="62" spans="1:14" ht="66.75" customHeight="1" x14ac:dyDescent="0.25">
      <c r="A62" s="5"/>
      <c r="B62" s="5"/>
      <c r="C62" s="6"/>
      <c r="D62" s="84" t="s">
        <v>3</v>
      </c>
      <c r="E62" s="86"/>
      <c r="F62" s="86"/>
      <c r="G62" s="7"/>
      <c r="H62" s="5"/>
      <c r="I62" s="84" t="s">
        <v>14</v>
      </c>
      <c r="J62" s="84"/>
      <c r="K62" s="84"/>
      <c r="L62" s="84" t="s">
        <v>15</v>
      </c>
      <c r="M62" s="84"/>
      <c r="N62" s="84"/>
    </row>
    <row r="63" spans="1:14" ht="34.5" customHeight="1" x14ac:dyDescent="0.25">
      <c r="A63" s="8" t="s">
        <v>0</v>
      </c>
      <c r="B63" s="8" t="s">
        <v>1</v>
      </c>
      <c r="C63" s="77" t="s">
        <v>2</v>
      </c>
      <c r="D63" s="78" t="s">
        <v>4</v>
      </c>
      <c r="E63" s="78" t="s">
        <v>5</v>
      </c>
      <c r="F63" s="78" t="s">
        <v>6</v>
      </c>
      <c r="G63" s="77" t="s">
        <v>7</v>
      </c>
      <c r="H63" s="9" t="s">
        <v>8</v>
      </c>
      <c r="I63" s="10" t="s">
        <v>16</v>
      </c>
      <c r="J63" s="10" t="s">
        <v>17</v>
      </c>
      <c r="K63" s="10" t="s">
        <v>18</v>
      </c>
      <c r="L63" s="10" t="s">
        <v>19</v>
      </c>
      <c r="M63" s="10" t="s">
        <v>20</v>
      </c>
      <c r="N63" s="10" t="s">
        <v>21</v>
      </c>
    </row>
    <row r="64" spans="1:14" ht="30.75" customHeight="1" x14ac:dyDescent="0.25">
      <c r="A64" s="85" t="s">
        <v>26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</row>
    <row r="65" spans="1:14" ht="57" customHeight="1" x14ac:dyDescent="0.25">
      <c r="A65" s="83" t="s">
        <v>58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</row>
    <row r="66" spans="1:14" ht="42" customHeight="1" x14ac:dyDescent="0.25">
      <c r="A66" s="87" t="s">
        <v>31</v>
      </c>
      <c r="B66" s="53" t="s">
        <v>63</v>
      </c>
      <c r="C66" s="36">
        <v>100</v>
      </c>
      <c r="D66" s="36">
        <v>1.33</v>
      </c>
      <c r="E66" s="36">
        <v>10.130000000000001</v>
      </c>
      <c r="F66" s="36">
        <v>7.3</v>
      </c>
      <c r="G66" s="40">
        <v>126.65</v>
      </c>
      <c r="H66" s="56">
        <v>67</v>
      </c>
      <c r="I66" s="36">
        <v>23.23</v>
      </c>
      <c r="J66" s="36">
        <v>16.16</v>
      </c>
      <c r="K66" s="36">
        <v>0.67</v>
      </c>
      <c r="L66" s="36">
        <v>0.03</v>
      </c>
      <c r="M66" s="36">
        <v>0.03</v>
      </c>
      <c r="N66" s="36">
        <v>5.18</v>
      </c>
    </row>
    <row r="67" spans="1:14" ht="57" customHeight="1" x14ac:dyDescent="0.25">
      <c r="A67" s="88"/>
      <c r="B67" s="53" t="s">
        <v>24</v>
      </c>
      <c r="C67" s="36">
        <v>100</v>
      </c>
      <c r="D67" s="36">
        <v>0.8</v>
      </c>
      <c r="E67" s="36">
        <v>4.7</v>
      </c>
      <c r="F67" s="36">
        <v>3.6</v>
      </c>
      <c r="G67" s="40">
        <v>61</v>
      </c>
      <c r="H67" s="56">
        <v>20</v>
      </c>
      <c r="I67" s="36">
        <v>15</v>
      </c>
      <c r="J67" s="36">
        <v>12.07</v>
      </c>
      <c r="K67" s="36">
        <v>0.56000000000000005</v>
      </c>
      <c r="L67" s="36">
        <v>0.03</v>
      </c>
      <c r="M67" s="36">
        <v>0.02</v>
      </c>
      <c r="N67" s="36">
        <v>5.7</v>
      </c>
    </row>
    <row r="68" spans="1:14" ht="57.75" customHeight="1" x14ac:dyDescent="0.25">
      <c r="A68" s="89"/>
      <c r="B68" s="53" t="s">
        <v>70</v>
      </c>
      <c r="C68" s="36">
        <v>100</v>
      </c>
      <c r="D68" s="36">
        <v>0.66</v>
      </c>
      <c r="E68" s="36">
        <v>9.9600000000000009</v>
      </c>
      <c r="F68" s="36">
        <v>2.3199999999999998</v>
      </c>
      <c r="G68" s="40">
        <v>102.26</v>
      </c>
      <c r="H68" s="56">
        <v>19</v>
      </c>
      <c r="I68" s="36">
        <v>20.49</v>
      </c>
      <c r="J68" s="36">
        <v>11.69</v>
      </c>
      <c r="K68" s="36">
        <v>0.53</v>
      </c>
      <c r="L68" s="36">
        <v>0.02</v>
      </c>
      <c r="M68" s="36">
        <v>0.03</v>
      </c>
      <c r="N68" s="36">
        <v>3.84</v>
      </c>
    </row>
    <row r="69" spans="1:14" ht="50.25" customHeight="1" x14ac:dyDescent="0.25">
      <c r="A69" s="87" t="s">
        <v>33</v>
      </c>
      <c r="B69" s="53" t="s">
        <v>64</v>
      </c>
      <c r="C69" s="39">
        <v>250</v>
      </c>
      <c r="D69" s="39">
        <v>5.75</v>
      </c>
      <c r="E69" s="39">
        <v>9</v>
      </c>
      <c r="F69" s="39">
        <v>9</v>
      </c>
      <c r="G69" s="40">
        <v>141.13</v>
      </c>
      <c r="H69" s="56">
        <v>88</v>
      </c>
      <c r="I69" s="36">
        <v>31.82</v>
      </c>
      <c r="J69" s="36">
        <v>19.09</v>
      </c>
      <c r="K69" s="36">
        <v>0.7</v>
      </c>
      <c r="L69" s="36">
        <v>0.05</v>
      </c>
      <c r="M69" s="36">
        <v>0.04</v>
      </c>
      <c r="N69" s="36">
        <v>12</v>
      </c>
    </row>
    <row r="70" spans="1:14" ht="49.5" customHeight="1" x14ac:dyDescent="0.25">
      <c r="A70" s="89"/>
      <c r="B70" s="53" t="s">
        <v>68</v>
      </c>
      <c r="C70" s="39">
        <v>250</v>
      </c>
      <c r="D70" s="39">
        <v>2.6</v>
      </c>
      <c r="E70" s="39">
        <v>4.3</v>
      </c>
      <c r="F70" s="39">
        <v>11.6</v>
      </c>
      <c r="G70" s="40">
        <v>96</v>
      </c>
      <c r="H70" s="56">
        <v>113</v>
      </c>
      <c r="I70" s="36">
        <v>11.61</v>
      </c>
      <c r="J70" s="36">
        <v>7.18</v>
      </c>
      <c r="K70" s="36">
        <v>0.41</v>
      </c>
      <c r="L70" s="36">
        <v>0.02</v>
      </c>
      <c r="M70" s="36">
        <v>0.03</v>
      </c>
      <c r="N70" s="36">
        <v>0.6</v>
      </c>
    </row>
    <row r="71" spans="1:14" ht="49.5" customHeight="1" x14ac:dyDescent="0.25">
      <c r="A71" s="87" t="s">
        <v>35</v>
      </c>
      <c r="B71" s="53" t="s">
        <v>65</v>
      </c>
      <c r="C71" s="39">
        <v>280</v>
      </c>
      <c r="D71" s="39">
        <v>18.239999999999998</v>
      </c>
      <c r="E71" s="39">
        <v>34.06</v>
      </c>
      <c r="F71" s="39">
        <v>64</v>
      </c>
      <c r="G71" s="40">
        <v>573.03</v>
      </c>
      <c r="H71" s="56" t="s">
        <v>66</v>
      </c>
      <c r="I71" s="37">
        <v>54.66</v>
      </c>
      <c r="J71" s="37">
        <v>44.84</v>
      </c>
      <c r="K71" s="37">
        <v>2.77</v>
      </c>
      <c r="L71" s="37">
        <v>0.15</v>
      </c>
      <c r="M71" s="37">
        <v>0.17</v>
      </c>
      <c r="N71" s="37">
        <v>0.38</v>
      </c>
    </row>
    <row r="72" spans="1:14" ht="50.25" customHeight="1" x14ac:dyDescent="0.25">
      <c r="A72" s="88"/>
      <c r="B72" s="53" t="s">
        <v>34</v>
      </c>
      <c r="C72" s="39">
        <v>200</v>
      </c>
      <c r="D72" s="39">
        <v>20.6</v>
      </c>
      <c r="E72" s="39">
        <v>22.5</v>
      </c>
      <c r="F72" s="39">
        <v>35.700000000000003</v>
      </c>
      <c r="G72" s="40">
        <v>427.3</v>
      </c>
      <c r="H72" s="56">
        <v>291</v>
      </c>
      <c r="I72" s="37">
        <v>22.3</v>
      </c>
      <c r="J72" s="37">
        <v>39.85</v>
      </c>
      <c r="K72" s="37">
        <v>1.9</v>
      </c>
      <c r="L72" s="37">
        <v>7.0000000000000007E-2</v>
      </c>
      <c r="M72" s="37">
        <v>0.01</v>
      </c>
      <c r="N72" s="37">
        <v>0.66</v>
      </c>
    </row>
    <row r="73" spans="1:14" ht="41.25" customHeight="1" x14ac:dyDescent="0.25">
      <c r="A73" s="89"/>
      <c r="B73" s="53" t="s">
        <v>67</v>
      </c>
      <c r="C73" s="36">
        <v>280</v>
      </c>
      <c r="D73" s="37">
        <f>22.2+3.48</f>
        <v>25.68</v>
      </c>
      <c r="E73" s="37">
        <f>7.56+30.36</f>
        <v>37.92</v>
      </c>
      <c r="F73" s="37">
        <f>0.33+9.72</f>
        <v>10.050000000000001</v>
      </c>
      <c r="G73" s="48">
        <f>375.96+365.97</f>
        <v>741.93000000000006</v>
      </c>
      <c r="H73" s="56" t="s">
        <v>71</v>
      </c>
      <c r="I73" s="37">
        <f>16.44+16.88</f>
        <v>33.32</v>
      </c>
      <c r="J73" s="37">
        <f>37.73+16.78</f>
        <v>54.51</v>
      </c>
      <c r="K73" s="37">
        <f>1.58+1.48</f>
        <v>3.06</v>
      </c>
      <c r="L73" s="37">
        <f>0.15+0.05</f>
        <v>0.2</v>
      </c>
      <c r="M73" s="37">
        <f>0.11+0.1</f>
        <v>0.21000000000000002</v>
      </c>
      <c r="N73" s="37">
        <f>7.29+0.76</f>
        <v>8.0500000000000007</v>
      </c>
    </row>
    <row r="74" spans="1:14" ht="33.75" customHeight="1" x14ac:dyDescent="0.25">
      <c r="A74" s="79"/>
      <c r="B74" s="53" t="s">
        <v>36</v>
      </c>
      <c r="C74" s="39">
        <v>30</v>
      </c>
      <c r="D74" s="49">
        <v>2</v>
      </c>
      <c r="E74" s="49">
        <v>0.3</v>
      </c>
      <c r="F74" s="49">
        <v>12.7</v>
      </c>
      <c r="G74" s="48">
        <v>61.2</v>
      </c>
      <c r="H74" s="61"/>
      <c r="I74" s="37">
        <v>5.4</v>
      </c>
      <c r="J74" s="37">
        <v>5.7</v>
      </c>
      <c r="K74" s="37">
        <v>1.2</v>
      </c>
      <c r="L74" s="37">
        <v>0.05</v>
      </c>
      <c r="M74" s="37">
        <v>0.02</v>
      </c>
      <c r="N74" s="37">
        <v>0</v>
      </c>
    </row>
    <row r="75" spans="1:14" ht="45.75" customHeight="1" x14ac:dyDescent="0.25">
      <c r="A75" s="79"/>
      <c r="B75" s="53" t="s">
        <v>22</v>
      </c>
      <c r="C75" s="39">
        <v>20</v>
      </c>
      <c r="D75" s="49">
        <v>1.5</v>
      </c>
      <c r="E75" s="49">
        <v>0.1</v>
      </c>
      <c r="F75" s="49">
        <v>10</v>
      </c>
      <c r="G75" s="48">
        <v>47.4</v>
      </c>
      <c r="H75" s="61"/>
      <c r="I75" s="37">
        <v>3.6</v>
      </c>
      <c r="J75" s="37">
        <v>17.399999999999999</v>
      </c>
      <c r="K75" s="37">
        <v>0.8</v>
      </c>
      <c r="L75" s="37">
        <v>0.04</v>
      </c>
      <c r="M75" s="37">
        <v>0.02</v>
      </c>
      <c r="N75" s="37">
        <v>0</v>
      </c>
    </row>
    <row r="76" spans="1:14" ht="45" customHeight="1" x14ac:dyDescent="0.25">
      <c r="A76" s="87" t="s">
        <v>40</v>
      </c>
      <c r="B76" s="53" t="s">
        <v>37</v>
      </c>
      <c r="C76" s="39">
        <v>200</v>
      </c>
      <c r="D76" s="49">
        <v>0.2</v>
      </c>
      <c r="E76" s="49">
        <v>0</v>
      </c>
      <c r="F76" s="49">
        <v>14.9</v>
      </c>
      <c r="G76" s="48">
        <v>61.6</v>
      </c>
      <c r="H76" s="61">
        <v>377</v>
      </c>
      <c r="I76" s="37">
        <v>13.29</v>
      </c>
      <c r="J76" s="37">
        <v>10.99</v>
      </c>
      <c r="K76" s="37">
        <v>0.1</v>
      </c>
      <c r="L76" s="37">
        <v>0.06</v>
      </c>
      <c r="M76" s="37">
        <v>0.24</v>
      </c>
      <c r="N76" s="37">
        <v>1</v>
      </c>
    </row>
    <row r="77" spans="1:14" ht="39.75" customHeight="1" x14ac:dyDescent="0.25">
      <c r="A77" s="89"/>
      <c r="B77" s="53" t="s">
        <v>69</v>
      </c>
      <c r="C77" s="39">
        <v>200</v>
      </c>
      <c r="D77" s="49">
        <v>0.4</v>
      </c>
      <c r="E77" s="49">
        <v>0.1</v>
      </c>
      <c r="F77" s="49">
        <v>28.4</v>
      </c>
      <c r="G77" s="48">
        <v>118.1</v>
      </c>
      <c r="H77" s="56">
        <v>399</v>
      </c>
      <c r="I77" s="36">
        <v>14.62</v>
      </c>
      <c r="J77" s="36">
        <v>8.5</v>
      </c>
      <c r="K77" s="36">
        <v>0.92</v>
      </c>
      <c r="L77" s="36">
        <v>7.0000000000000007E-2</v>
      </c>
      <c r="M77" s="36">
        <v>0.21</v>
      </c>
      <c r="N77" s="36">
        <v>0.28999999999999998</v>
      </c>
    </row>
    <row r="78" spans="1:14" ht="32.25" customHeight="1" x14ac:dyDescent="0.25">
      <c r="A78" s="79"/>
      <c r="B78" s="63" t="s">
        <v>39</v>
      </c>
      <c r="C78" s="39">
        <v>60</v>
      </c>
      <c r="D78" s="39">
        <v>1.7</v>
      </c>
      <c r="E78" s="39">
        <v>2</v>
      </c>
      <c r="F78" s="39">
        <v>46.4</v>
      </c>
      <c r="G78" s="40">
        <v>212.4</v>
      </c>
      <c r="H78" s="61"/>
      <c r="I78" s="36">
        <v>9.6</v>
      </c>
      <c r="J78" s="36">
        <v>6</v>
      </c>
      <c r="K78" s="36">
        <v>0.9</v>
      </c>
      <c r="L78" s="36">
        <v>0.02</v>
      </c>
      <c r="M78" s="36">
        <v>0.02</v>
      </c>
      <c r="N78" s="36">
        <v>0</v>
      </c>
    </row>
    <row r="79" spans="1:14" x14ac:dyDescent="0.25">
      <c r="A79" s="79"/>
      <c r="B79" s="54"/>
      <c r="C79" s="57"/>
      <c r="D79" s="57"/>
      <c r="E79" s="57"/>
      <c r="F79" s="57"/>
      <c r="G79" s="54"/>
      <c r="H79" s="57"/>
      <c r="I79" s="47"/>
      <c r="J79" s="47"/>
      <c r="K79" s="47"/>
      <c r="L79" s="47"/>
      <c r="M79" s="47"/>
      <c r="N79" s="47"/>
    </row>
    <row r="80" spans="1:14" ht="11.25" customHeight="1" x14ac:dyDescent="0.25">
      <c r="A80" s="79"/>
      <c r="B80" s="78" t="s">
        <v>9</v>
      </c>
      <c r="C80" s="78">
        <f>SUM(C66:C79)</f>
        <v>2070</v>
      </c>
      <c r="D80" s="78">
        <f>SUM(D66:D79)</f>
        <v>81.460000000000008</v>
      </c>
      <c r="E80" s="78">
        <f>SUM(E66:E79)</f>
        <v>135.07</v>
      </c>
      <c r="F80" s="78">
        <f>SUM(F66:F79)</f>
        <v>255.97</v>
      </c>
      <c r="G80" s="77">
        <f>SUM(G66:G79)</f>
        <v>2770</v>
      </c>
      <c r="H80" s="79"/>
      <c r="I80" s="78">
        <f>SUM(I66:I79)</f>
        <v>258.94</v>
      </c>
      <c r="J80" s="78">
        <f t="shared" ref="J80:N80" si="2">SUM(J66:J79)</f>
        <v>253.98</v>
      </c>
      <c r="K80" s="78">
        <f t="shared" si="2"/>
        <v>14.520000000000001</v>
      </c>
      <c r="L80" s="78">
        <f t="shared" si="2"/>
        <v>0.81000000000000028</v>
      </c>
      <c r="M80" s="78">
        <f t="shared" si="2"/>
        <v>1.05</v>
      </c>
      <c r="N80" s="78">
        <f t="shared" si="2"/>
        <v>37.699999999999996</v>
      </c>
    </row>
    <row r="81" spans="1:14" ht="18.75" hidden="1" customHeight="1" x14ac:dyDescent="0.25">
      <c r="A81" s="79"/>
      <c r="B81" s="78"/>
      <c r="C81" s="79"/>
      <c r="D81" s="78"/>
      <c r="E81" s="78"/>
      <c r="F81" s="78"/>
      <c r="G81" s="77"/>
      <c r="H81" s="79"/>
      <c r="I81" s="28"/>
      <c r="J81" s="78"/>
      <c r="K81" s="78"/>
      <c r="L81" s="78"/>
      <c r="M81" s="78"/>
      <c r="N81" s="78"/>
    </row>
    <row r="82" spans="1:14" ht="18.75" hidden="1" customHeight="1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</row>
    <row r="83" spans="1:14" ht="18.75" hidden="1" customHeight="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ht="18.75" hidden="1" customHeight="1" x14ac:dyDescent="0.25">
      <c r="A84" s="18"/>
      <c r="B84" s="18"/>
      <c r="C84" s="18"/>
      <c r="D84" s="18"/>
      <c r="E84" s="18"/>
      <c r="F84" s="18"/>
      <c r="G84" s="7"/>
      <c r="H84" s="18"/>
      <c r="I84" s="19"/>
      <c r="J84" s="19"/>
      <c r="K84" s="19"/>
      <c r="L84" s="19"/>
      <c r="M84" s="19"/>
      <c r="N84" s="19"/>
    </row>
    <row r="85" spans="1:14" ht="18.75" hidden="1" customHeight="1" x14ac:dyDescent="0.25">
      <c r="A85" s="18"/>
      <c r="B85" s="18"/>
      <c r="C85" s="18"/>
      <c r="D85" s="18"/>
      <c r="E85" s="18"/>
      <c r="F85" s="18"/>
      <c r="G85" s="7"/>
      <c r="H85" s="18"/>
      <c r="I85" s="19"/>
      <c r="J85" s="19"/>
      <c r="K85" s="19"/>
      <c r="L85" s="19"/>
      <c r="M85" s="19"/>
      <c r="N85" s="19"/>
    </row>
    <row r="86" spans="1:14" ht="18.75" hidden="1" customHeight="1" x14ac:dyDescent="0.25">
      <c r="A86" s="18"/>
      <c r="B86" s="18"/>
      <c r="C86" s="18"/>
      <c r="D86" s="18"/>
      <c r="E86" s="18"/>
      <c r="F86" s="18"/>
      <c r="G86" s="7"/>
      <c r="H86" s="18"/>
      <c r="I86" s="19"/>
      <c r="J86" s="19"/>
      <c r="K86" s="19"/>
      <c r="L86" s="19"/>
      <c r="M86" s="19"/>
      <c r="N86" s="19"/>
    </row>
    <row r="87" spans="1:14" ht="18.75" hidden="1" customHeight="1" x14ac:dyDescent="0.25">
      <c r="A87" s="18"/>
      <c r="B87" s="18"/>
      <c r="C87" s="18"/>
      <c r="D87" s="18"/>
      <c r="E87" s="18"/>
      <c r="F87" s="18"/>
      <c r="G87" s="7"/>
      <c r="H87" s="18"/>
      <c r="I87" s="19"/>
      <c r="J87" s="19"/>
      <c r="K87" s="19"/>
      <c r="L87" s="19"/>
      <c r="M87" s="19"/>
      <c r="N87" s="19"/>
    </row>
    <row r="88" spans="1:14" ht="18.75" hidden="1" customHeight="1" x14ac:dyDescent="0.25">
      <c r="A88" s="18"/>
      <c r="B88" s="18"/>
      <c r="C88" s="18"/>
      <c r="D88" s="18"/>
      <c r="E88" s="18"/>
      <c r="F88" s="18"/>
      <c r="G88" s="7"/>
      <c r="H88" s="18"/>
      <c r="I88" s="19"/>
      <c r="J88" s="19"/>
      <c r="K88" s="19"/>
      <c r="L88" s="19"/>
      <c r="M88" s="19"/>
      <c r="N88" s="19"/>
    </row>
    <row r="89" spans="1:14" ht="18.75" hidden="1" customHeight="1" x14ac:dyDescent="0.25">
      <c r="A89" s="18"/>
      <c r="B89" s="18"/>
      <c r="C89" s="18"/>
      <c r="D89" s="18"/>
      <c r="E89" s="18"/>
      <c r="F89" s="18"/>
      <c r="G89" s="7"/>
      <c r="H89" s="18"/>
      <c r="I89" s="19"/>
      <c r="J89" s="19"/>
      <c r="K89" s="19"/>
      <c r="L89" s="19"/>
      <c r="M89" s="19"/>
      <c r="N89" s="19"/>
    </row>
    <row r="90" spans="1:14" ht="18.75" hidden="1" customHeight="1" x14ac:dyDescent="0.25">
      <c r="A90" s="18"/>
      <c r="B90" s="18"/>
      <c r="C90" s="18"/>
      <c r="D90" s="18"/>
      <c r="E90" s="18"/>
      <c r="F90" s="18"/>
      <c r="G90" s="7"/>
      <c r="H90" s="18"/>
      <c r="I90" s="19"/>
      <c r="J90" s="19"/>
      <c r="K90" s="19"/>
      <c r="L90" s="19"/>
      <c r="M90" s="19"/>
      <c r="N90" s="19"/>
    </row>
    <row r="91" spans="1:14" ht="18.75" hidden="1" customHeight="1" x14ac:dyDescent="0.25">
      <c r="A91" s="18"/>
      <c r="B91" s="18"/>
      <c r="C91" s="18"/>
      <c r="D91" s="18"/>
      <c r="E91" s="18"/>
      <c r="F91" s="18"/>
      <c r="G91" s="7"/>
      <c r="H91" s="18"/>
      <c r="I91" s="19"/>
      <c r="J91" s="19"/>
      <c r="K91" s="19"/>
      <c r="L91" s="19"/>
      <c r="M91" s="19"/>
      <c r="N91" s="19"/>
    </row>
    <row r="92" spans="1:14" ht="18.75" hidden="1" customHeight="1" x14ac:dyDescent="0.25">
      <c r="A92" s="18"/>
      <c r="B92" s="18"/>
      <c r="C92" s="18"/>
      <c r="D92" s="18"/>
      <c r="E92" s="18"/>
      <c r="F92" s="18"/>
      <c r="G92" s="7"/>
      <c r="H92" s="18"/>
      <c r="I92" s="19"/>
      <c r="J92" s="19"/>
      <c r="K92" s="19"/>
      <c r="L92" s="19"/>
      <c r="M92" s="19"/>
      <c r="N92" s="19"/>
    </row>
    <row r="93" spans="1:14" ht="18.75" hidden="1" customHeight="1" x14ac:dyDescent="0.25">
      <c r="A93" s="18"/>
      <c r="B93" s="18"/>
      <c r="C93" s="18"/>
      <c r="D93" s="18"/>
      <c r="E93" s="18"/>
      <c r="F93" s="18"/>
      <c r="G93" s="7"/>
      <c r="H93" s="18"/>
      <c r="I93" s="19"/>
      <c r="J93" s="19"/>
      <c r="K93" s="19"/>
      <c r="L93" s="19"/>
      <c r="M93" s="19"/>
      <c r="N93" s="19"/>
    </row>
    <row r="94" spans="1:14" ht="30" customHeight="1" x14ac:dyDescent="0.25">
      <c r="A94" s="18"/>
      <c r="B94" s="18"/>
      <c r="C94" s="18"/>
      <c r="D94" s="18"/>
      <c r="E94" s="18"/>
      <c r="F94" s="18"/>
      <c r="G94" s="7"/>
      <c r="H94" s="18"/>
      <c r="I94" s="19"/>
      <c r="J94" s="19"/>
      <c r="K94" s="19"/>
      <c r="L94" s="19"/>
      <c r="M94" s="19"/>
      <c r="N94" s="19"/>
    </row>
    <row r="95" spans="1:14" ht="57" customHeight="1" x14ac:dyDescent="0.25">
      <c r="A95" s="80"/>
      <c r="B95" s="80"/>
      <c r="C95" s="6"/>
      <c r="D95" s="84" t="s">
        <v>3</v>
      </c>
      <c r="E95" s="84"/>
      <c r="F95" s="84"/>
      <c r="G95" s="21"/>
      <c r="H95" s="80"/>
      <c r="I95" s="84" t="s">
        <v>14</v>
      </c>
      <c r="J95" s="84"/>
      <c r="K95" s="84"/>
      <c r="L95" s="84" t="s">
        <v>15</v>
      </c>
      <c r="M95" s="84"/>
      <c r="N95" s="84"/>
    </row>
    <row r="96" spans="1:14" ht="57" customHeight="1" x14ac:dyDescent="0.25">
      <c r="A96" s="8" t="s">
        <v>0</v>
      </c>
      <c r="B96" s="8" t="s">
        <v>1</v>
      </c>
      <c r="C96" s="77" t="s">
        <v>2</v>
      </c>
      <c r="D96" s="78" t="s">
        <v>4</v>
      </c>
      <c r="E96" s="78" t="s">
        <v>5</v>
      </c>
      <c r="F96" s="78" t="s">
        <v>6</v>
      </c>
      <c r="G96" s="77" t="s">
        <v>7</v>
      </c>
      <c r="H96" s="9" t="s">
        <v>8</v>
      </c>
      <c r="I96" s="10" t="s">
        <v>16</v>
      </c>
      <c r="J96" s="10" t="s">
        <v>17</v>
      </c>
      <c r="K96" s="10" t="s">
        <v>18</v>
      </c>
      <c r="L96" s="10" t="s">
        <v>19</v>
      </c>
      <c r="M96" s="10" t="s">
        <v>20</v>
      </c>
      <c r="N96" s="10" t="s">
        <v>21</v>
      </c>
    </row>
    <row r="97" spans="1:14" ht="38.25" customHeight="1" x14ac:dyDescent="0.25">
      <c r="A97" s="85" t="s">
        <v>26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</row>
    <row r="98" spans="1:14" ht="48" customHeight="1" x14ac:dyDescent="0.25">
      <c r="A98" s="83" t="s">
        <v>72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</row>
    <row r="99" spans="1:14" ht="48" customHeight="1" x14ac:dyDescent="0.25">
      <c r="A99" s="87" t="s">
        <v>31</v>
      </c>
      <c r="B99" s="53" t="s">
        <v>73</v>
      </c>
      <c r="C99" s="39">
        <v>100</v>
      </c>
      <c r="D99" s="39">
        <v>1.1599999999999999</v>
      </c>
      <c r="E99" s="39">
        <v>6.14</v>
      </c>
      <c r="F99" s="39">
        <v>4.6500000000000004</v>
      </c>
      <c r="G99" s="40">
        <v>80.34</v>
      </c>
      <c r="H99" s="59" t="s">
        <v>23</v>
      </c>
      <c r="I99" s="36">
        <v>22.71</v>
      </c>
      <c r="J99" s="36">
        <v>15.63</v>
      </c>
      <c r="K99" s="36">
        <v>0.78</v>
      </c>
      <c r="L99" s="36">
        <v>0.96</v>
      </c>
      <c r="M99" s="36">
        <v>0.06</v>
      </c>
      <c r="N99" s="36">
        <v>57.46</v>
      </c>
    </row>
    <row r="100" spans="1:14" ht="55.5" customHeight="1" x14ac:dyDescent="0.25">
      <c r="A100" s="88"/>
      <c r="B100" s="53" t="s">
        <v>74</v>
      </c>
      <c r="C100" s="39">
        <v>100</v>
      </c>
      <c r="D100" s="39">
        <v>1.8</v>
      </c>
      <c r="E100" s="39">
        <v>6.2</v>
      </c>
      <c r="F100" s="39">
        <v>9.2100000000000009</v>
      </c>
      <c r="G100" s="40">
        <v>99.5</v>
      </c>
      <c r="H100" s="59">
        <v>42</v>
      </c>
      <c r="I100" s="36">
        <v>15.9</v>
      </c>
      <c r="J100" s="36">
        <v>18.8</v>
      </c>
      <c r="K100" s="36">
        <v>0.74</v>
      </c>
      <c r="L100" s="36">
        <f>0.83/10</f>
        <v>8.299999999999999E-2</v>
      </c>
      <c r="M100" s="36">
        <f>0.49/10</f>
        <v>4.9000000000000002E-2</v>
      </c>
      <c r="N100" s="36">
        <f>130.43/10</f>
        <v>13.043000000000001</v>
      </c>
    </row>
    <row r="101" spans="1:14" ht="37.5" customHeight="1" x14ac:dyDescent="0.25">
      <c r="A101" s="89"/>
      <c r="B101" s="53" t="s">
        <v>75</v>
      </c>
      <c r="C101" s="39">
        <v>100</v>
      </c>
      <c r="D101" s="39">
        <v>1.49</v>
      </c>
      <c r="E101" s="39">
        <v>6.14</v>
      </c>
      <c r="F101" s="39">
        <v>6.64</v>
      </c>
      <c r="G101" s="40">
        <v>87.15</v>
      </c>
      <c r="H101" s="59">
        <v>55</v>
      </c>
      <c r="I101" s="36">
        <v>25.73</v>
      </c>
      <c r="J101" s="36">
        <v>15.18</v>
      </c>
      <c r="K101" s="36">
        <v>0.92</v>
      </c>
      <c r="L101" s="36">
        <v>0.01</v>
      </c>
      <c r="M101" s="36">
        <v>0.02</v>
      </c>
      <c r="N101" s="36">
        <v>0.99</v>
      </c>
    </row>
    <row r="102" spans="1:14" ht="57" customHeight="1" x14ac:dyDescent="0.25">
      <c r="A102" s="87" t="s">
        <v>33</v>
      </c>
      <c r="B102" s="53" t="s">
        <v>43</v>
      </c>
      <c r="C102" s="39">
        <v>250</v>
      </c>
      <c r="D102" s="39">
        <v>9.3699999999999992</v>
      </c>
      <c r="E102" s="39">
        <v>8.25</v>
      </c>
      <c r="F102" s="39">
        <v>19</v>
      </c>
      <c r="G102" s="40">
        <v>187.5</v>
      </c>
      <c r="H102" s="56">
        <v>99</v>
      </c>
      <c r="I102" s="36">
        <v>15.49</v>
      </c>
      <c r="J102" s="36">
        <v>24.01</v>
      </c>
      <c r="K102" s="36">
        <v>0.91</v>
      </c>
      <c r="L102" s="36">
        <v>0.08</v>
      </c>
      <c r="M102" s="36">
        <v>0.06</v>
      </c>
      <c r="N102" s="36">
        <v>7</v>
      </c>
    </row>
    <row r="103" spans="1:14" ht="40.5" customHeight="1" x14ac:dyDescent="0.25">
      <c r="A103" s="89"/>
      <c r="B103" s="53" t="s">
        <v>76</v>
      </c>
      <c r="C103" s="39">
        <v>250</v>
      </c>
      <c r="D103" s="39">
        <v>9.25</v>
      </c>
      <c r="E103" s="39">
        <v>12.25</v>
      </c>
      <c r="F103" s="39">
        <v>9.6199999999999992</v>
      </c>
      <c r="G103" s="40">
        <v>186.6</v>
      </c>
      <c r="H103" s="56">
        <v>89</v>
      </c>
      <c r="I103" s="36">
        <v>98.6</v>
      </c>
      <c r="J103" s="36">
        <v>73.8</v>
      </c>
      <c r="K103" s="36">
        <v>3.3</v>
      </c>
      <c r="L103" s="36">
        <v>0.11</v>
      </c>
      <c r="M103" s="36">
        <v>0.11</v>
      </c>
      <c r="N103" s="36">
        <v>19.13</v>
      </c>
    </row>
    <row r="104" spans="1:14" ht="40.5" customHeight="1" x14ac:dyDescent="0.25">
      <c r="A104" s="87" t="s">
        <v>35</v>
      </c>
      <c r="B104" s="53" t="s">
        <v>77</v>
      </c>
      <c r="C104" s="36">
        <v>250</v>
      </c>
      <c r="D104" s="41">
        <v>23.2</v>
      </c>
      <c r="E104" s="36">
        <v>29.1</v>
      </c>
      <c r="F104" s="36">
        <v>24.7</v>
      </c>
      <c r="G104" s="40">
        <v>453.6</v>
      </c>
      <c r="H104" s="56">
        <v>259</v>
      </c>
      <c r="I104" s="36">
        <v>23.88</v>
      </c>
      <c r="J104" s="36">
        <v>48.35</v>
      </c>
      <c r="K104" s="36">
        <v>3.59</v>
      </c>
      <c r="L104" s="36">
        <v>0.16</v>
      </c>
      <c r="M104" s="36">
        <v>0.18</v>
      </c>
      <c r="N104" s="36">
        <v>8.77</v>
      </c>
    </row>
    <row r="105" spans="1:14" ht="40.5" customHeight="1" x14ac:dyDescent="0.25">
      <c r="A105" s="88"/>
      <c r="B105" s="53" t="s">
        <v>78</v>
      </c>
      <c r="C105" s="36">
        <v>280</v>
      </c>
      <c r="D105" s="41">
        <f>15+6.48</f>
        <v>21.48</v>
      </c>
      <c r="E105" s="36">
        <f>21.4+7.87</f>
        <v>29.27</v>
      </c>
      <c r="F105" s="36">
        <f>15.5+41.04</f>
        <v>56.54</v>
      </c>
      <c r="G105" s="40">
        <f>316+258.48</f>
        <v>574.48</v>
      </c>
      <c r="H105" s="56" t="s">
        <v>79</v>
      </c>
      <c r="I105" s="36">
        <f>22+11.31</f>
        <v>33.31</v>
      </c>
      <c r="J105" s="36">
        <f>22.69+9.07</f>
        <v>31.76</v>
      </c>
      <c r="K105" s="36">
        <f>1.79+0.92</f>
        <v>2.71</v>
      </c>
      <c r="L105" s="36">
        <f>0.07+0.07</f>
        <v>0.14000000000000001</v>
      </c>
      <c r="M105" s="36">
        <f>0.11+0.02</f>
        <v>0.13</v>
      </c>
      <c r="N105" s="36">
        <v>0.39</v>
      </c>
    </row>
    <row r="106" spans="1:14" ht="50.25" customHeight="1" x14ac:dyDescent="0.25">
      <c r="A106" s="89"/>
      <c r="B106" s="53" t="s">
        <v>80</v>
      </c>
      <c r="C106" s="36">
        <v>280</v>
      </c>
      <c r="D106" s="41">
        <f>5.04+9.35</f>
        <v>14.39</v>
      </c>
      <c r="E106" s="36">
        <f>8.62+3.91</f>
        <v>12.53</v>
      </c>
      <c r="F106" s="36">
        <f>49.2+0.45</f>
        <v>49.650000000000006</v>
      </c>
      <c r="G106" s="40">
        <f>295.2+74</f>
        <v>369.2</v>
      </c>
      <c r="H106" s="56" t="s">
        <v>81</v>
      </c>
      <c r="I106" s="36">
        <f>5.48+27.83</f>
        <v>33.31</v>
      </c>
      <c r="J106" s="36">
        <f>29.94+12.8</f>
        <v>42.74</v>
      </c>
      <c r="K106" s="36">
        <f>0.62+0.32</f>
        <v>0.94</v>
      </c>
      <c r="L106" s="36">
        <f>0.04+0.03</f>
        <v>7.0000000000000007E-2</v>
      </c>
      <c r="M106" s="36">
        <f>0.03+0.03</f>
        <v>0.06</v>
      </c>
      <c r="N106" s="36">
        <f>2+0.34</f>
        <v>2.34</v>
      </c>
    </row>
    <row r="107" spans="1:14" ht="49.5" customHeight="1" x14ac:dyDescent="0.25">
      <c r="A107" s="79"/>
      <c r="B107" s="53" t="s">
        <v>36</v>
      </c>
      <c r="C107" s="36">
        <v>30</v>
      </c>
      <c r="D107" s="41">
        <v>2</v>
      </c>
      <c r="E107" s="37">
        <v>0.3</v>
      </c>
      <c r="F107" s="41">
        <v>12.7</v>
      </c>
      <c r="G107" s="38">
        <v>61.2</v>
      </c>
      <c r="H107" s="61"/>
      <c r="I107" s="37">
        <v>5.4</v>
      </c>
      <c r="J107" s="37">
        <v>5.7</v>
      </c>
      <c r="K107" s="37">
        <v>1.2</v>
      </c>
      <c r="L107" s="37">
        <v>0.05</v>
      </c>
      <c r="M107" s="37">
        <v>0.02</v>
      </c>
      <c r="N107" s="37">
        <v>0</v>
      </c>
    </row>
    <row r="108" spans="1:14" ht="39" customHeight="1" x14ac:dyDescent="0.25">
      <c r="A108" s="79"/>
      <c r="B108" s="53" t="s">
        <v>22</v>
      </c>
      <c r="C108" s="39">
        <v>20</v>
      </c>
      <c r="D108" s="42">
        <v>1.5</v>
      </c>
      <c r="E108" s="42">
        <v>0.1</v>
      </c>
      <c r="F108" s="42">
        <v>10</v>
      </c>
      <c r="G108" s="38">
        <v>47.4</v>
      </c>
      <c r="H108" s="61"/>
      <c r="I108" s="37">
        <v>3.6</v>
      </c>
      <c r="J108" s="37">
        <v>17.399999999999999</v>
      </c>
      <c r="K108" s="37">
        <v>0.8</v>
      </c>
      <c r="L108" s="37">
        <v>0.04</v>
      </c>
      <c r="M108" s="37">
        <v>0.02</v>
      </c>
      <c r="N108" s="37">
        <v>0</v>
      </c>
    </row>
    <row r="109" spans="1:14" x14ac:dyDescent="0.25">
      <c r="A109" s="78" t="s">
        <v>40</v>
      </c>
      <c r="B109" s="53" t="s">
        <v>37</v>
      </c>
      <c r="C109" s="39">
        <v>200</v>
      </c>
      <c r="D109" s="39">
        <v>0.2</v>
      </c>
      <c r="E109" s="39">
        <v>0</v>
      </c>
      <c r="F109" s="39">
        <v>14.9</v>
      </c>
      <c r="G109" s="40">
        <v>61.6</v>
      </c>
      <c r="H109" s="56">
        <v>377</v>
      </c>
      <c r="I109" s="37">
        <v>13.29</v>
      </c>
      <c r="J109" s="37">
        <v>10.99</v>
      </c>
      <c r="K109" s="37">
        <v>0.1</v>
      </c>
      <c r="L109" s="37">
        <v>0.06</v>
      </c>
      <c r="M109" s="37">
        <v>0.24</v>
      </c>
      <c r="N109" s="43">
        <v>1</v>
      </c>
    </row>
    <row r="110" spans="1:14" x14ac:dyDescent="0.25">
      <c r="A110" s="79"/>
      <c r="B110" s="63" t="s">
        <v>55</v>
      </c>
      <c r="C110" s="44">
        <v>100</v>
      </c>
      <c r="D110" s="44">
        <v>0.4</v>
      </c>
      <c r="E110" s="44">
        <v>0.4</v>
      </c>
      <c r="F110" s="44">
        <v>9.8000000000000007</v>
      </c>
      <c r="G110" s="45">
        <v>47</v>
      </c>
      <c r="H110" s="39"/>
      <c r="I110" s="36">
        <v>16</v>
      </c>
      <c r="J110" s="36">
        <v>8</v>
      </c>
      <c r="K110" s="36">
        <v>2.2000000000000002</v>
      </c>
      <c r="L110" s="36">
        <v>0.03</v>
      </c>
      <c r="M110" s="36">
        <v>0.02</v>
      </c>
      <c r="N110" s="36">
        <v>10</v>
      </c>
    </row>
    <row r="111" spans="1:14" ht="5.25" customHeight="1" x14ac:dyDescent="0.25">
      <c r="A111" s="79"/>
      <c r="B111" s="20"/>
      <c r="C111" s="58"/>
      <c r="D111" s="58"/>
      <c r="E111" s="58"/>
      <c r="F111" s="58"/>
      <c r="G111" s="20"/>
      <c r="H111" s="58"/>
      <c r="I111" s="76"/>
      <c r="J111" s="76"/>
      <c r="K111" s="76"/>
      <c r="L111" s="76"/>
      <c r="M111" s="76"/>
      <c r="N111" s="76"/>
    </row>
    <row r="112" spans="1:14" ht="18.75" hidden="1" customHeight="1" x14ac:dyDescent="0.25">
      <c r="A112" s="79"/>
      <c r="B112" s="78" t="s">
        <v>9</v>
      </c>
      <c r="C112" s="78">
        <f>SUM(C99:C111)</f>
        <v>1960</v>
      </c>
      <c r="D112" s="78">
        <f>SUM(D99:D111)</f>
        <v>86.240000000000009</v>
      </c>
      <c r="E112" s="78">
        <f>SUM(E99:E111)</f>
        <v>110.68</v>
      </c>
      <c r="F112" s="78">
        <f>SUM(F99:F111)</f>
        <v>227.41</v>
      </c>
      <c r="G112" s="77">
        <f>SUM(G99:G111)</f>
        <v>2255.5700000000002</v>
      </c>
      <c r="H112" s="79"/>
      <c r="I112" s="78">
        <f>SUM(I99:I111)</f>
        <v>307.22000000000003</v>
      </c>
      <c r="J112" s="78">
        <f t="shared" ref="J112:N112" si="3">SUM(J99:J111)</f>
        <v>312.35999999999996</v>
      </c>
      <c r="K112" s="78">
        <f t="shared" si="3"/>
        <v>18.189999999999998</v>
      </c>
      <c r="L112" s="78">
        <f t="shared" si="3"/>
        <v>1.7930000000000004</v>
      </c>
      <c r="M112" s="78">
        <f t="shared" si="3"/>
        <v>0.96900000000000008</v>
      </c>
      <c r="N112" s="78">
        <f t="shared" si="3"/>
        <v>120.12299999999999</v>
      </c>
    </row>
    <row r="113" spans="1:14" ht="18.75" hidden="1" customHeight="1" x14ac:dyDescent="0.25">
      <c r="A113" s="79"/>
      <c r="B113" s="78"/>
      <c r="C113" s="78"/>
      <c r="D113" s="28"/>
      <c r="E113" s="28"/>
      <c r="F113" s="28"/>
      <c r="G113" s="29"/>
      <c r="H113" s="27"/>
      <c r="I113" s="28"/>
      <c r="J113" s="28"/>
      <c r="K113" s="28"/>
      <c r="L113" s="28"/>
      <c r="M113" s="28"/>
      <c r="N113" s="28"/>
    </row>
    <row r="114" spans="1:14" ht="18.75" hidden="1" customHeight="1" x14ac:dyDescent="0.25">
      <c r="A114" s="18"/>
      <c r="B114" s="18"/>
      <c r="C114" s="18"/>
      <c r="D114" s="18"/>
      <c r="E114" s="18"/>
      <c r="F114" s="18"/>
      <c r="G114" s="31"/>
      <c r="H114" s="30"/>
      <c r="I114" s="32"/>
      <c r="J114" s="32"/>
      <c r="K114" s="32"/>
      <c r="L114" s="32"/>
      <c r="M114" s="32"/>
      <c r="N114" s="32"/>
    </row>
    <row r="115" spans="1:14" ht="18.75" hidden="1" customHeight="1" x14ac:dyDescent="0.25">
      <c r="A115" s="18"/>
      <c r="B115" s="18"/>
      <c r="C115" s="18"/>
      <c r="D115" s="18"/>
      <c r="E115" s="18"/>
      <c r="F115" s="18"/>
      <c r="G115" s="7"/>
      <c r="H115" s="18"/>
      <c r="I115" s="19"/>
      <c r="J115" s="19"/>
      <c r="K115" s="19"/>
      <c r="L115" s="19"/>
      <c r="M115" s="19"/>
      <c r="N115" s="19"/>
    </row>
    <row r="116" spans="1:14" ht="18.75" hidden="1" customHeight="1" x14ac:dyDescent="0.25">
      <c r="A116" s="18"/>
      <c r="B116" s="18"/>
      <c r="C116" s="18"/>
      <c r="D116" s="18"/>
      <c r="E116" s="18"/>
      <c r="F116" s="18"/>
      <c r="G116" s="7"/>
      <c r="H116" s="18"/>
      <c r="I116" s="19"/>
      <c r="J116" s="19"/>
      <c r="K116" s="19"/>
      <c r="L116" s="19"/>
      <c r="M116" s="19"/>
      <c r="N116" s="19"/>
    </row>
    <row r="117" spans="1:14" ht="18.75" hidden="1" customHeight="1" x14ac:dyDescent="0.25">
      <c r="A117" s="18"/>
      <c r="B117" s="18"/>
      <c r="C117" s="18"/>
      <c r="D117" s="18"/>
      <c r="E117" s="18"/>
      <c r="F117" s="18"/>
      <c r="G117" s="7"/>
      <c r="H117" s="18"/>
      <c r="I117" s="19"/>
      <c r="J117" s="19"/>
      <c r="K117" s="19"/>
      <c r="L117" s="19"/>
      <c r="M117" s="19"/>
      <c r="N117" s="19"/>
    </row>
    <row r="118" spans="1:14" ht="18.75" hidden="1" customHeight="1" x14ac:dyDescent="0.25">
      <c r="A118" s="18"/>
      <c r="B118" s="18"/>
      <c r="C118" s="18"/>
      <c r="D118" s="18"/>
      <c r="E118" s="18"/>
      <c r="F118" s="18"/>
      <c r="G118" s="7"/>
      <c r="H118" s="18"/>
      <c r="I118" s="19"/>
      <c r="J118" s="19"/>
      <c r="K118" s="19"/>
      <c r="L118" s="19"/>
      <c r="M118" s="19"/>
      <c r="N118" s="19"/>
    </row>
    <row r="119" spans="1:14" ht="18.75" hidden="1" customHeight="1" x14ac:dyDescent="0.25">
      <c r="A119" s="18"/>
      <c r="B119" s="18"/>
      <c r="C119" s="18"/>
      <c r="D119" s="18"/>
      <c r="E119" s="18"/>
      <c r="F119" s="18"/>
      <c r="G119" s="7"/>
      <c r="H119" s="18"/>
      <c r="I119" s="19"/>
      <c r="J119" s="19"/>
      <c r="K119" s="19"/>
      <c r="L119" s="19"/>
      <c r="M119" s="19"/>
      <c r="N119" s="19"/>
    </row>
    <row r="120" spans="1:14" ht="18.75" hidden="1" customHeight="1" x14ac:dyDescent="0.25">
      <c r="A120" s="18"/>
      <c r="B120" s="18"/>
      <c r="C120" s="18"/>
      <c r="D120" s="18"/>
      <c r="E120" s="18"/>
      <c r="F120" s="18"/>
      <c r="G120" s="7"/>
      <c r="H120" s="18"/>
      <c r="I120" s="19"/>
      <c r="J120" s="19"/>
      <c r="K120" s="19"/>
      <c r="L120" s="19"/>
      <c r="M120" s="19"/>
      <c r="N120" s="19"/>
    </row>
    <row r="121" spans="1:14" ht="18.75" hidden="1" customHeight="1" x14ac:dyDescent="0.25">
      <c r="A121" s="18"/>
      <c r="B121" s="18"/>
      <c r="C121" s="18"/>
      <c r="D121" s="18"/>
      <c r="E121" s="18"/>
      <c r="F121" s="18"/>
      <c r="G121" s="7"/>
      <c r="H121" s="18"/>
      <c r="I121" s="19"/>
      <c r="J121" s="19"/>
      <c r="K121" s="19"/>
      <c r="L121" s="19"/>
      <c r="M121" s="19"/>
      <c r="N121" s="19"/>
    </row>
    <row r="122" spans="1:14" ht="18.75" hidden="1" customHeight="1" x14ac:dyDescent="0.25">
      <c r="A122" s="18"/>
      <c r="B122" s="18"/>
      <c r="C122" s="18"/>
      <c r="D122" s="18"/>
      <c r="E122" s="18"/>
      <c r="F122" s="18"/>
      <c r="G122" s="7"/>
      <c r="H122" s="18"/>
      <c r="I122" s="19"/>
      <c r="J122" s="19"/>
      <c r="K122" s="19"/>
      <c r="L122" s="19"/>
      <c r="M122" s="19"/>
      <c r="N122" s="19"/>
    </row>
    <row r="123" spans="1:14" ht="41.25" customHeight="1" x14ac:dyDescent="0.25">
      <c r="A123" s="18"/>
      <c r="B123" s="18"/>
      <c r="C123" s="18"/>
      <c r="D123" s="18"/>
      <c r="E123" s="18"/>
      <c r="F123" s="18"/>
      <c r="G123" s="7"/>
      <c r="H123" s="18"/>
      <c r="I123" s="19"/>
      <c r="J123" s="19"/>
      <c r="K123" s="19"/>
      <c r="L123" s="19"/>
      <c r="M123" s="19"/>
      <c r="N123" s="19"/>
    </row>
    <row r="124" spans="1:14" ht="40.5" customHeight="1" x14ac:dyDescent="0.25">
      <c r="A124" s="5"/>
      <c r="B124" s="5"/>
      <c r="C124" s="6"/>
      <c r="D124" s="84" t="s">
        <v>3</v>
      </c>
      <c r="E124" s="86"/>
      <c r="F124" s="86"/>
      <c r="G124" s="7"/>
      <c r="H124" s="5"/>
      <c r="I124" s="84" t="s">
        <v>14</v>
      </c>
      <c r="J124" s="84"/>
      <c r="K124" s="84"/>
      <c r="L124" s="84" t="s">
        <v>15</v>
      </c>
      <c r="M124" s="84"/>
      <c r="N124" s="84"/>
    </row>
    <row r="125" spans="1:14" ht="36" customHeight="1" x14ac:dyDescent="0.25">
      <c r="A125" s="8" t="s">
        <v>0</v>
      </c>
      <c r="B125" s="8" t="s">
        <v>1</v>
      </c>
      <c r="C125" s="77" t="s">
        <v>2</v>
      </c>
      <c r="D125" s="78" t="s">
        <v>4</v>
      </c>
      <c r="E125" s="78" t="s">
        <v>5</v>
      </c>
      <c r="F125" s="78" t="s">
        <v>6</v>
      </c>
      <c r="G125" s="77" t="s">
        <v>7</v>
      </c>
      <c r="H125" s="9" t="s">
        <v>8</v>
      </c>
      <c r="I125" s="10" t="s">
        <v>16</v>
      </c>
      <c r="J125" s="10" t="s">
        <v>17</v>
      </c>
      <c r="K125" s="10" t="s">
        <v>18</v>
      </c>
      <c r="L125" s="10" t="s">
        <v>19</v>
      </c>
      <c r="M125" s="10" t="s">
        <v>20</v>
      </c>
      <c r="N125" s="10" t="s">
        <v>21</v>
      </c>
    </row>
    <row r="126" spans="1:14" ht="46.5" customHeight="1" x14ac:dyDescent="0.25">
      <c r="A126" s="85" t="s">
        <v>27</v>
      </c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</row>
    <row r="127" spans="1:14" ht="46.5" customHeight="1" x14ac:dyDescent="0.25">
      <c r="A127" s="83" t="s">
        <v>82</v>
      </c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</row>
    <row r="128" spans="1:14" ht="48" customHeight="1" x14ac:dyDescent="0.25">
      <c r="A128" s="87" t="s">
        <v>31</v>
      </c>
      <c r="B128" s="75" t="s">
        <v>45</v>
      </c>
      <c r="C128" s="36">
        <v>100</v>
      </c>
      <c r="D128" s="36">
        <v>1.66</v>
      </c>
      <c r="E128" s="36">
        <v>5.15</v>
      </c>
      <c r="F128" s="36">
        <v>9.9600000000000009</v>
      </c>
      <c r="G128" s="36">
        <v>93.12</v>
      </c>
      <c r="H128" s="36">
        <v>45</v>
      </c>
      <c r="I128" s="36">
        <v>61.35</v>
      </c>
      <c r="J128" s="36">
        <v>22.76</v>
      </c>
      <c r="K128" s="36">
        <v>0.99</v>
      </c>
      <c r="L128" s="36">
        <v>0.04</v>
      </c>
      <c r="M128" s="36">
        <v>0.05</v>
      </c>
      <c r="N128" s="36">
        <v>50</v>
      </c>
    </row>
    <row r="129" spans="1:14" ht="40.5" customHeight="1" x14ac:dyDescent="0.25">
      <c r="A129" s="89"/>
      <c r="B129" s="75" t="s">
        <v>24</v>
      </c>
      <c r="C129" s="36">
        <v>100</v>
      </c>
      <c r="D129" s="36">
        <v>0.8</v>
      </c>
      <c r="E129" s="36">
        <v>4.7</v>
      </c>
      <c r="F129" s="36">
        <v>3.6</v>
      </c>
      <c r="G129" s="36">
        <v>61</v>
      </c>
      <c r="H129" s="36">
        <v>20</v>
      </c>
      <c r="I129" s="36">
        <v>15</v>
      </c>
      <c r="J129" s="36">
        <v>12.07</v>
      </c>
      <c r="K129" s="36">
        <v>0.56000000000000005</v>
      </c>
      <c r="L129" s="36">
        <v>0.03</v>
      </c>
      <c r="M129" s="36">
        <v>0.02</v>
      </c>
      <c r="N129" s="36">
        <v>5.7</v>
      </c>
    </row>
    <row r="130" spans="1:14" ht="45.75" customHeight="1" x14ac:dyDescent="0.25">
      <c r="A130" s="87" t="s">
        <v>33</v>
      </c>
      <c r="B130" s="53" t="s">
        <v>83</v>
      </c>
      <c r="C130" s="39">
        <v>250</v>
      </c>
      <c r="D130" s="49">
        <v>5.62</v>
      </c>
      <c r="E130" s="49">
        <v>8.75</v>
      </c>
      <c r="F130" s="49">
        <v>16.37</v>
      </c>
      <c r="G130" s="48">
        <v>167.5</v>
      </c>
      <c r="H130" s="56">
        <v>96</v>
      </c>
      <c r="I130" s="36">
        <v>18.059999999999999</v>
      </c>
      <c r="J130" s="36">
        <v>26.99</v>
      </c>
      <c r="K130" s="36">
        <v>1.01</v>
      </c>
      <c r="L130" s="36">
        <v>0.09</v>
      </c>
      <c r="M130" s="36">
        <v>0.06</v>
      </c>
      <c r="N130" s="36">
        <v>8.0399999999999991</v>
      </c>
    </row>
    <row r="131" spans="1:14" ht="45.75" customHeight="1" x14ac:dyDescent="0.25">
      <c r="A131" s="89"/>
      <c r="B131" s="53" t="s">
        <v>89</v>
      </c>
      <c r="C131" s="39">
        <v>250</v>
      </c>
      <c r="D131" s="49">
        <f>5.93/4</f>
        <v>1.4824999999999999</v>
      </c>
      <c r="E131" s="49">
        <f>19.67/4</f>
        <v>4.9175000000000004</v>
      </c>
      <c r="F131" s="49">
        <f>24.36/4</f>
        <v>6.09</v>
      </c>
      <c r="G131" s="48">
        <f>305/4</f>
        <v>76.25</v>
      </c>
      <c r="H131" s="56">
        <v>98</v>
      </c>
      <c r="I131" s="37">
        <f>143.5/4</f>
        <v>35.875</v>
      </c>
      <c r="J131" s="37">
        <f>56.7/4</f>
        <v>14.175000000000001</v>
      </c>
      <c r="K131" s="37">
        <f>2.3/4</f>
        <v>0.57499999999999996</v>
      </c>
      <c r="L131" s="43">
        <f>0.17/4</f>
        <v>4.2500000000000003E-2</v>
      </c>
      <c r="M131" s="43">
        <f>0.13/4</f>
        <v>3.2500000000000001E-2</v>
      </c>
      <c r="N131" s="37">
        <f>39.5/4</f>
        <v>9.875</v>
      </c>
    </row>
    <row r="132" spans="1:14" ht="42.75" customHeight="1" x14ac:dyDescent="0.25">
      <c r="A132" s="112" t="s">
        <v>35</v>
      </c>
      <c r="B132" s="53" t="s">
        <v>84</v>
      </c>
      <c r="C132" s="36">
        <v>210</v>
      </c>
      <c r="D132" s="36">
        <v>24</v>
      </c>
      <c r="E132" s="36">
        <v>20.88</v>
      </c>
      <c r="F132" s="36">
        <v>43.68</v>
      </c>
      <c r="G132" s="40">
        <v>462.48</v>
      </c>
      <c r="H132" s="56">
        <v>223</v>
      </c>
      <c r="I132" s="36">
        <v>266.70999999999998</v>
      </c>
      <c r="J132" s="36">
        <v>36.72</v>
      </c>
      <c r="K132" s="36">
        <v>0.8</v>
      </c>
      <c r="L132" s="36">
        <v>7.0000000000000007E-2</v>
      </c>
      <c r="M132" s="36">
        <v>0.4</v>
      </c>
      <c r="N132" s="36">
        <v>0.54</v>
      </c>
    </row>
    <row r="133" spans="1:14" ht="39.75" customHeight="1" x14ac:dyDescent="0.25">
      <c r="A133" s="113"/>
      <c r="B133" s="53" t="s">
        <v>85</v>
      </c>
      <c r="C133" s="36">
        <v>280</v>
      </c>
      <c r="D133" s="36">
        <f>6.48+8.32</f>
        <v>14.8</v>
      </c>
      <c r="E133" s="36">
        <f>7.87+6.02</f>
        <v>13.89</v>
      </c>
      <c r="F133" s="36">
        <f>41.04+10.06</f>
        <v>51.1</v>
      </c>
      <c r="G133" s="40">
        <f>258.48+129</f>
        <v>387.48</v>
      </c>
      <c r="H133" s="56" t="s">
        <v>91</v>
      </c>
      <c r="I133" s="36">
        <f>11.31+25.85</f>
        <v>37.160000000000004</v>
      </c>
      <c r="J133" s="36">
        <f>9.07+18.29</f>
        <v>27.36</v>
      </c>
      <c r="K133" s="36">
        <f>0.92+1.81</f>
        <v>2.73</v>
      </c>
      <c r="L133" s="36">
        <f>0.07+0.07</f>
        <v>0.14000000000000001</v>
      </c>
      <c r="M133" s="36">
        <f>0.02+0.09</f>
        <v>0.11</v>
      </c>
      <c r="N133" s="36">
        <f>0+0.71</f>
        <v>0.71</v>
      </c>
    </row>
    <row r="134" spans="1:14" ht="25.5" customHeight="1" x14ac:dyDescent="0.25">
      <c r="A134" s="114"/>
      <c r="B134" s="53" t="s">
        <v>86</v>
      </c>
      <c r="C134" s="36">
        <v>280</v>
      </c>
      <c r="D134" s="36">
        <f>5.04+22.2</f>
        <v>27.24</v>
      </c>
      <c r="E134" s="36">
        <f>8.62+30.36</f>
        <v>38.979999999999997</v>
      </c>
      <c r="F134" s="36">
        <f>49.2+0.33</f>
        <v>49.53</v>
      </c>
      <c r="G134" s="40">
        <f>295.2+365.97</f>
        <v>661.17000000000007</v>
      </c>
      <c r="H134" s="56" t="s">
        <v>90</v>
      </c>
      <c r="I134" s="36">
        <f>5.48+16.44</f>
        <v>21.92</v>
      </c>
      <c r="J134" s="36">
        <f>29.94+16.78</f>
        <v>46.72</v>
      </c>
      <c r="K134" s="36">
        <f>0.62+1.58</f>
        <v>2.2000000000000002</v>
      </c>
      <c r="L134" s="36">
        <f>0.04+0.05</f>
        <v>0.09</v>
      </c>
      <c r="M134" s="36">
        <f>0.03+0.11</f>
        <v>0.14000000000000001</v>
      </c>
      <c r="N134" s="36">
        <f>2+0.76</f>
        <v>2.76</v>
      </c>
    </row>
    <row r="135" spans="1:14" ht="27.75" customHeight="1" x14ac:dyDescent="0.25">
      <c r="A135" s="112" t="s">
        <v>40</v>
      </c>
      <c r="B135" s="53" t="s">
        <v>88</v>
      </c>
      <c r="C135" s="36">
        <v>200</v>
      </c>
      <c r="D135" s="36">
        <v>0.6</v>
      </c>
      <c r="E135" s="36">
        <v>0.4</v>
      </c>
      <c r="F135" s="36">
        <v>32.6</v>
      </c>
      <c r="G135" s="40">
        <v>140</v>
      </c>
      <c r="H135" s="56"/>
      <c r="I135" s="36">
        <v>14</v>
      </c>
      <c r="J135" s="36">
        <v>8</v>
      </c>
      <c r="K135" s="36">
        <v>2.8</v>
      </c>
      <c r="L135" s="36">
        <v>0.02</v>
      </c>
      <c r="M135" s="36">
        <v>0.02</v>
      </c>
      <c r="N135" s="36">
        <v>4</v>
      </c>
    </row>
    <row r="136" spans="1:14" ht="15" x14ac:dyDescent="0.25">
      <c r="A136" s="114"/>
      <c r="B136" s="53" t="s">
        <v>87</v>
      </c>
      <c r="C136" s="39">
        <v>200</v>
      </c>
      <c r="D136" s="39">
        <v>1.5</v>
      </c>
      <c r="E136" s="39">
        <v>1.3</v>
      </c>
      <c r="F136" s="39">
        <v>22.4</v>
      </c>
      <c r="G136" s="40">
        <v>107</v>
      </c>
      <c r="H136" s="56">
        <v>432</v>
      </c>
      <c r="I136" s="36">
        <v>105.9</v>
      </c>
      <c r="J136" s="36">
        <v>12.18</v>
      </c>
      <c r="K136" s="36">
        <v>0.11</v>
      </c>
      <c r="L136" s="36">
        <v>0.03</v>
      </c>
      <c r="M136" s="36">
        <v>0.12</v>
      </c>
      <c r="N136" s="36">
        <v>0.52</v>
      </c>
    </row>
    <row r="137" spans="1:14" ht="15" x14ac:dyDescent="0.25">
      <c r="A137" s="36"/>
      <c r="B137" s="36" t="s">
        <v>22</v>
      </c>
      <c r="C137" s="36">
        <v>20</v>
      </c>
      <c r="D137" s="41">
        <v>1.5</v>
      </c>
      <c r="E137" s="36">
        <v>0.14000000000000001</v>
      </c>
      <c r="F137" s="36">
        <v>10.06</v>
      </c>
      <c r="G137" s="40">
        <v>47.3</v>
      </c>
      <c r="H137" s="37"/>
      <c r="I137" s="37">
        <v>5.4</v>
      </c>
      <c r="J137" s="37">
        <v>5.7</v>
      </c>
      <c r="K137" s="37">
        <v>1.2</v>
      </c>
      <c r="L137" s="37">
        <v>0.05</v>
      </c>
      <c r="M137" s="37">
        <v>0.02</v>
      </c>
      <c r="N137" s="37">
        <v>0</v>
      </c>
    </row>
    <row r="138" spans="1:14" ht="15" x14ac:dyDescent="0.25">
      <c r="A138" s="36"/>
      <c r="B138" s="36" t="s">
        <v>11</v>
      </c>
      <c r="C138" s="39">
        <v>20</v>
      </c>
      <c r="D138" s="42">
        <v>1.3</v>
      </c>
      <c r="E138" s="42">
        <v>0.1</v>
      </c>
      <c r="F138" s="42">
        <v>7.55</v>
      </c>
      <c r="G138" s="38">
        <v>35.5</v>
      </c>
      <c r="H138" s="37"/>
      <c r="I138" s="37">
        <v>3.6</v>
      </c>
      <c r="J138" s="37">
        <v>17.399999999999999</v>
      </c>
      <c r="K138" s="37">
        <v>0.8</v>
      </c>
      <c r="L138" s="37">
        <v>0.04</v>
      </c>
      <c r="M138" s="37">
        <v>0.02</v>
      </c>
      <c r="N138" s="37">
        <v>0</v>
      </c>
    </row>
    <row r="139" spans="1:14" ht="28.5" customHeight="1" x14ac:dyDescent="0.25">
      <c r="A139" s="36"/>
      <c r="B139" s="53" t="s">
        <v>39</v>
      </c>
      <c r="C139" s="39">
        <v>60</v>
      </c>
      <c r="D139" s="39">
        <v>1.7</v>
      </c>
      <c r="E139" s="39">
        <v>2</v>
      </c>
      <c r="F139" s="39">
        <v>46.4</v>
      </c>
      <c r="G139" s="40">
        <v>212.4</v>
      </c>
      <c r="H139" s="39"/>
      <c r="I139" s="36">
        <v>9.6</v>
      </c>
      <c r="J139" s="36">
        <v>6</v>
      </c>
      <c r="K139" s="36">
        <v>0.9</v>
      </c>
      <c r="L139" s="36">
        <v>0.02</v>
      </c>
      <c r="M139" s="36">
        <v>0.02</v>
      </c>
      <c r="N139" s="36">
        <v>0</v>
      </c>
    </row>
    <row r="140" spans="1:14" x14ac:dyDescent="0.25">
      <c r="A140" s="79"/>
      <c r="B140" s="81" t="s">
        <v>9</v>
      </c>
      <c r="C140" s="81">
        <f>SUM(C128:C139)</f>
        <v>1970</v>
      </c>
      <c r="D140" s="81">
        <f>SUM(D132:D139)</f>
        <v>72.639999999999986</v>
      </c>
      <c r="E140" s="81">
        <f>SUM(E132:E139)</f>
        <v>77.69</v>
      </c>
      <c r="F140" s="81">
        <f>SUM(F132:F139)</f>
        <v>263.32</v>
      </c>
      <c r="G140" s="8">
        <f>SUM(G132:G139)</f>
        <v>2053.33</v>
      </c>
      <c r="H140" s="76"/>
      <c r="I140" s="81">
        <f t="shared" ref="I140:N140" si="4">SUM(I132:I139)</f>
        <v>464.29000000000008</v>
      </c>
      <c r="J140" s="81">
        <f t="shared" si="4"/>
        <v>160.07999999999998</v>
      </c>
      <c r="K140" s="81">
        <f t="shared" si="4"/>
        <v>11.540000000000001</v>
      </c>
      <c r="L140" s="81">
        <f t="shared" si="4"/>
        <v>0.46000000000000008</v>
      </c>
      <c r="M140" s="81">
        <f t="shared" si="4"/>
        <v>0.85000000000000009</v>
      </c>
      <c r="N140" s="81">
        <f t="shared" si="4"/>
        <v>8.5299999999999994</v>
      </c>
    </row>
    <row r="141" spans="1:14" ht="18.75" customHeight="1" x14ac:dyDescent="0.25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2"/>
    </row>
    <row r="142" spans="1:14" ht="18.75" customHeight="1" x14ac:dyDescent="0.25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4"/>
    </row>
    <row r="143" spans="1:14" x14ac:dyDescent="0.25">
      <c r="A143" s="5"/>
      <c r="B143" s="5"/>
      <c r="C143" s="6"/>
      <c r="D143" s="84" t="s">
        <v>3</v>
      </c>
      <c r="E143" s="86"/>
      <c r="F143" s="86"/>
      <c r="G143" s="7"/>
      <c r="H143" s="5"/>
      <c r="I143" s="84" t="s">
        <v>14</v>
      </c>
      <c r="J143" s="84"/>
      <c r="K143" s="84"/>
      <c r="L143" s="84" t="s">
        <v>15</v>
      </c>
      <c r="M143" s="84"/>
      <c r="N143" s="84"/>
    </row>
    <row r="144" spans="1:14" ht="37.5" x14ac:dyDescent="0.25">
      <c r="A144" s="8" t="s">
        <v>0</v>
      </c>
      <c r="B144" s="8" t="s">
        <v>1</v>
      </c>
      <c r="C144" s="77" t="s">
        <v>2</v>
      </c>
      <c r="D144" s="78" t="s">
        <v>4</v>
      </c>
      <c r="E144" s="78" t="s">
        <v>5</v>
      </c>
      <c r="F144" s="78" t="s">
        <v>6</v>
      </c>
      <c r="G144" s="77" t="s">
        <v>7</v>
      </c>
      <c r="H144" s="9" t="s">
        <v>8</v>
      </c>
      <c r="I144" s="10" t="s">
        <v>16</v>
      </c>
      <c r="J144" s="10" t="s">
        <v>17</v>
      </c>
      <c r="K144" s="10" t="s">
        <v>18</v>
      </c>
      <c r="L144" s="10" t="s">
        <v>19</v>
      </c>
      <c r="M144" s="10" t="s">
        <v>20</v>
      </c>
      <c r="N144" s="10" t="s">
        <v>21</v>
      </c>
    </row>
    <row r="145" spans="1:14" x14ac:dyDescent="0.25">
      <c r="A145" s="85" t="s">
        <v>10</v>
      </c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</row>
    <row r="146" spans="1:14" x14ac:dyDescent="0.25">
      <c r="A146" s="83" t="s">
        <v>93</v>
      </c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</row>
    <row r="147" spans="1:14" ht="30" x14ac:dyDescent="0.25">
      <c r="A147" s="115" t="s">
        <v>31</v>
      </c>
      <c r="B147" s="40" t="s">
        <v>24</v>
      </c>
      <c r="C147" s="44">
        <v>100</v>
      </c>
      <c r="D147" s="44">
        <v>0.8</v>
      </c>
      <c r="E147" s="44">
        <v>4.7</v>
      </c>
      <c r="F147" s="44">
        <v>3.6</v>
      </c>
      <c r="G147" s="45">
        <v>61</v>
      </c>
      <c r="H147" s="44">
        <v>20</v>
      </c>
      <c r="I147" s="44">
        <v>15</v>
      </c>
      <c r="J147" s="44">
        <v>12.07</v>
      </c>
      <c r="K147" s="44">
        <v>0.56000000000000005</v>
      </c>
      <c r="L147" s="44">
        <v>0.03</v>
      </c>
      <c r="M147" s="44">
        <v>0.02</v>
      </c>
      <c r="N147" s="44">
        <v>5.7</v>
      </c>
    </row>
    <row r="148" spans="1:14" ht="15" x14ac:dyDescent="0.25">
      <c r="A148" s="116"/>
      <c r="B148" s="40" t="s">
        <v>49</v>
      </c>
      <c r="C148" s="44">
        <v>100</v>
      </c>
      <c r="D148" s="44">
        <v>1.66</v>
      </c>
      <c r="E148" s="44">
        <v>6.14</v>
      </c>
      <c r="F148" s="44">
        <v>9.4600000000000009</v>
      </c>
      <c r="G148" s="45">
        <v>99.6</v>
      </c>
      <c r="H148" s="44">
        <v>49</v>
      </c>
      <c r="I148" s="44">
        <v>31.97</v>
      </c>
      <c r="J148" s="44">
        <v>16.64</v>
      </c>
      <c r="K148" s="44">
        <v>0.57999999999999996</v>
      </c>
      <c r="L148" s="44">
        <v>0.06</v>
      </c>
      <c r="M148" s="44">
        <v>0.06</v>
      </c>
      <c r="N148" s="44">
        <v>32.9</v>
      </c>
    </row>
    <row r="149" spans="1:14" ht="45" x14ac:dyDescent="0.25">
      <c r="A149" s="115" t="s">
        <v>33</v>
      </c>
      <c r="B149" s="53" t="s">
        <v>94</v>
      </c>
      <c r="C149" s="39">
        <v>250</v>
      </c>
      <c r="D149" s="39">
        <v>5.25</v>
      </c>
      <c r="E149" s="39">
        <v>5.37</v>
      </c>
      <c r="F149" s="39">
        <v>20.100000000000001</v>
      </c>
      <c r="G149" s="40">
        <v>150.25</v>
      </c>
      <c r="H149" s="39">
        <v>103</v>
      </c>
      <c r="I149" s="36">
        <v>31.25</v>
      </c>
      <c r="J149" s="36">
        <v>25.88</v>
      </c>
      <c r="K149" s="36">
        <v>1.28</v>
      </c>
      <c r="L149" s="36">
        <v>0.01</v>
      </c>
      <c r="M149" s="36">
        <v>0.08</v>
      </c>
      <c r="N149" s="36">
        <v>6.7</v>
      </c>
    </row>
    <row r="150" spans="1:14" ht="30" x14ac:dyDescent="0.25">
      <c r="A150" s="116"/>
      <c r="B150" s="53" t="s">
        <v>51</v>
      </c>
      <c r="C150" s="39">
        <v>250</v>
      </c>
      <c r="D150" s="39">
        <v>5.75</v>
      </c>
      <c r="E150" s="39">
        <v>9</v>
      </c>
      <c r="F150" s="39">
        <v>9</v>
      </c>
      <c r="G150" s="40">
        <v>141.13</v>
      </c>
      <c r="H150" s="39">
        <v>88</v>
      </c>
      <c r="I150" s="36">
        <v>31.82</v>
      </c>
      <c r="J150" s="36">
        <v>19.09</v>
      </c>
      <c r="K150" s="36">
        <v>0.7</v>
      </c>
      <c r="L150" s="36">
        <v>0.05</v>
      </c>
      <c r="M150" s="36">
        <v>0.04</v>
      </c>
      <c r="N150" s="36">
        <v>12</v>
      </c>
    </row>
    <row r="151" spans="1:14" ht="30" x14ac:dyDescent="0.25">
      <c r="A151" s="115" t="s">
        <v>35</v>
      </c>
      <c r="B151" s="40" t="s">
        <v>95</v>
      </c>
      <c r="C151" s="36">
        <v>280</v>
      </c>
      <c r="D151" s="41">
        <f>10.4+28.7</f>
        <v>39.1</v>
      </c>
      <c r="E151" s="36">
        <f>6.8+22.1</f>
        <v>28.900000000000002</v>
      </c>
      <c r="F151" s="36">
        <f>45.5+0.5</f>
        <v>46</v>
      </c>
      <c r="G151" s="40">
        <f>288+305</f>
        <v>593</v>
      </c>
      <c r="H151" s="36" t="s">
        <v>96</v>
      </c>
      <c r="I151" s="36">
        <f>16.8+22.67</f>
        <v>39.47</v>
      </c>
      <c r="J151" s="36">
        <f>159.54+23.8</f>
        <v>183.34</v>
      </c>
      <c r="K151" s="36">
        <f>5.47+3.89</f>
        <v>9.36</v>
      </c>
      <c r="L151" s="36">
        <f>0.31+0.1</f>
        <v>0.41000000000000003</v>
      </c>
      <c r="M151" s="36">
        <f>0.16+0.19</f>
        <v>0.35</v>
      </c>
      <c r="N151" s="36">
        <v>1.65</v>
      </c>
    </row>
    <row r="152" spans="1:14" ht="15" x14ac:dyDescent="0.25">
      <c r="A152" s="117"/>
      <c r="B152" s="40" t="s">
        <v>97</v>
      </c>
      <c r="C152" s="39">
        <v>200</v>
      </c>
      <c r="D152" s="39">
        <v>17.5</v>
      </c>
      <c r="E152" s="39">
        <v>22.1</v>
      </c>
      <c r="F152" s="39">
        <v>17.5</v>
      </c>
      <c r="G152" s="40">
        <v>345</v>
      </c>
      <c r="H152" s="39">
        <v>103</v>
      </c>
      <c r="I152" s="36">
        <v>23.13</v>
      </c>
      <c r="J152" s="36">
        <v>44.17</v>
      </c>
      <c r="K152" s="36">
        <v>3.14</v>
      </c>
      <c r="L152" s="36">
        <v>0.09</v>
      </c>
      <c r="M152" s="36">
        <v>0.14000000000000001</v>
      </c>
      <c r="N152" s="36">
        <v>2.6</v>
      </c>
    </row>
    <row r="153" spans="1:14" ht="30" x14ac:dyDescent="0.25">
      <c r="A153" s="116"/>
      <c r="B153" s="40" t="s">
        <v>65</v>
      </c>
      <c r="C153" s="39">
        <v>280</v>
      </c>
      <c r="D153" s="39">
        <v>18.239999999999998</v>
      </c>
      <c r="E153" s="39">
        <v>34.06</v>
      </c>
      <c r="F153" s="39">
        <v>64</v>
      </c>
      <c r="G153" s="40">
        <v>573.03</v>
      </c>
      <c r="H153" s="39" t="s">
        <v>66</v>
      </c>
      <c r="I153" s="36">
        <v>54.66</v>
      </c>
      <c r="J153" s="36">
        <v>44.84</v>
      </c>
      <c r="K153" s="36">
        <v>2.77</v>
      </c>
      <c r="L153" s="36">
        <v>0.15</v>
      </c>
      <c r="M153" s="36">
        <v>0.17</v>
      </c>
      <c r="N153" s="36">
        <v>0.38</v>
      </c>
    </row>
    <row r="154" spans="1:14" x14ac:dyDescent="0.25">
      <c r="A154" s="78" t="s">
        <v>40</v>
      </c>
      <c r="B154" s="40" t="s">
        <v>25</v>
      </c>
      <c r="C154" s="36">
        <v>200</v>
      </c>
      <c r="D154" s="41">
        <v>0.1</v>
      </c>
      <c r="E154" s="41">
        <v>0</v>
      </c>
      <c r="F154" s="41">
        <v>9.1</v>
      </c>
      <c r="G154" s="38">
        <v>35</v>
      </c>
      <c r="H154" s="56">
        <v>430</v>
      </c>
      <c r="I154" s="37">
        <v>0.26</v>
      </c>
      <c r="J154" s="37">
        <v>0</v>
      </c>
      <c r="K154" s="37">
        <v>0.03</v>
      </c>
      <c r="L154" s="37">
        <v>0</v>
      </c>
      <c r="M154" s="37">
        <v>0</v>
      </c>
      <c r="N154" s="37">
        <v>0</v>
      </c>
    </row>
    <row r="155" spans="1:14" x14ac:dyDescent="0.25">
      <c r="A155" s="79"/>
      <c r="B155" s="36" t="s">
        <v>22</v>
      </c>
      <c r="C155" s="39">
        <v>20</v>
      </c>
      <c r="D155" s="42">
        <v>1.5</v>
      </c>
      <c r="E155" s="42">
        <v>0.1</v>
      </c>
      <c r="F155" s="42">
        <v>10</v>
      </c>
      <c r="G155" s="38">
        <v>47.4</v>
      </c>
      <c r="H155" s="39"/>
      <c r="I155" s="37">
        <v>4.5999999999999996</v>
      </c>
      <c r="J155" s="37">
        <v>6.6</v>
      </c>
      <c r="K155" s="37">
        <v>0.4</v>
      </c>
      <c r="L155" s="37">
        <v>0.03</v>
      </c>
      <c r="M155" s="37">
        <v>0.01</v>
      </c>
      <c r="N155" s="43">
        <v>0</v>
      </c>
    </row>
    <row r="156" spans="1:14" x14ac:dyDescent="0.25">
      <c r="A156" s="79"/>
      <c r="B156" s="36" t="s">
        <v>36</v>
      </c>
      <c r="C156" s="39">
        <v>30</v>
      </c>
      <c r="D156" s="39">
        <v>2</v>
      </c>
      <c r="E156" s="39">
        <v>0.3</v>
      </c>
      <c r="F156" s="39">
        <v>12.7</v>
      </c>
      <c r="G156" s="40">
        <v>61.2</v>
      </c>
      <c r="H156" s="39"/>
      <c r="I156" s="36">
        <v>5.4</v>
      </c>
      <c r="J156" s="36">
        <v>5.7</v>
      </c>
      <c r="K156" s="36">
        <v>1.2</v>
      </c>
      <c r="L156" s="36">
        <v>0.05</v>
      </c>
      <c r="M156" s="36">
        <v>0.02</v>
      </c>
      <c r="N156" s="36">
        <v>0</v>
      </c>
    </row>
    <row r="157" spans="1:14" x14ac:dyDescent="0.25">
      <c r="A157" s="79"/>
      <c r="B157" s="63" t="s">
        <v>55</v>
      </c>
      <c r="C157" s="39">
        <v>100</v>
      </c>
      <c r="D157" s="39">
        <v>0.4</v>
      </c>
      <c r="E157" s="39">
        <v>0.4</v>
      </c>
      <c r="F157" s="39">
        <v>9.8000000000000007</v>
      </c>
      <c r="G157" s="40">
        <v>47</v>
      </c>
      <c r="H157" s="64"/>
      <c r="I157" s="36">
        <v>16</v>
      </c>
      <c r="J157" s="36">
        <v>8</v>
      </c>
      <c r="K157" s="36">
        <v>2.2000000000000002</v>
      </c>
      <c r="L157" s="36">
        <v>0.03</v>
      </c>
      <c r="M157" s="36">
        <v>0.02</v>
      </c>
      <c r="N157" s="36">
        <v>10</v>
      </c>
    </row>
    <row r="158" spans="1:14" x14ac:dyDescent="0.25">
      <c r="A158" s="79"/>
      <c r="B158" s="81" t="s">
        <v>9</v>
      </c>
      <c r="C158" s="81">
        <f>SUM(C147:C157)</f>
        <v>1810</v>
      </c>
      <c r="D158" s="81">
        <f>SUM(D147:D157)</f>
        <v>92.3</v>
      </c>
      <c r="E158" s="81">
        <f>SUM(E147:E157)</f>
        <v>111.07000000000001</v>
      </c>
      <c r="F158" s="81">
        <f>SUM(F147:F157)</f>
        <v>211.26</v>
      </c>
      <c r="G158" s="8">
        <f>SUM(G147:G157)</f>
        <v>2153.61</v>
      </c>
      <c r="H158" s="76"/>
      <c r="I158" s="81">
        <f t="shared" ref="I158:N158" si="5">SUM(I147:I157)</f>
        <v>253.55999999999997</v>
      </c>
      <c r="J158" s="81">
        <f t="shared" si="5"/>
        <v>366.33</v>
      </c>
      <c r="K158" s="81">
        <f t="shared" si="5"/>
        <v>22.22</v>
      </c>
      <c r="L158" s="81">
        <f t="shared" si="5"/>
        <v>0.91000000000000014</v>
      </c>
      <c r="M158" s="81">
        <f t="shared" si="5"/>
        <v>0.91000000000000014</v>
      </c>
      <c r="N158" s="81">
        <f t="shared" si="5"/>
        <v>71.930000000000007</v>
      </c>
    </row>
    <row r="159" spans="1:14" x14ac:dyDescent="0.25">
      <c r="A159" s="79"/>
      <c r="B159" s="50"/>
      <c r="C159" s="50"/>
      <c r="D159" s="50"/>
      <c r="E159" s="50"/>
      <c r="F159" s="50"/>
      <c r="G159" s="51"/>
      <c r="H159" s="36"/>
      <c r="I159" s="52"/>
      <c r="J159" s="50"/>
      <c r="K159" s="50"/>
      <c r="L159" s="50"/>
      <c r="M159" s="50"/>
      <c r="N159" s="50"/>
    </row>
    <row r="160" spans="1:14" x14ac:dyDescent="0.25">
      <c r="A160" s="18"/>
      <c r="B160" s="18"/>
      <c r="C160" s="18"/>
      <c r="D160" s="18"/>
      <c r="E160" s="18"/>
      <c r="F160" s="18"/>
      <c r="G160" s="7"/>
      <c r="H160" s="18"/>
      <c r="I160" s="19"/>
      <c r="J160" s="19"/>
      <c r="K160" s="19"/>
      <c r="L160" s="19"/>
      <c r="M160" s="19"/>
      <c r="N160" s="19"/>
    </row>
    <row r="161" spans="1:14" x14ac:dyDescent="0.25">
      <c r="A161" s="18"/>
      <c r="B161" s="18"/>
      <c r="C161" s="18"/>
      <c r="D161" s="18"/>
      <c r="E161" s="18"/>
      <c r="F161" s="18"/>
      <c r="G161" s="7"/>
      <c r="H161" s="18"/>
      <c r="I161" s="19"/>
      <c r="J161" s="19"/>
      <c r="K161" s="19"/>
      <c r="L161" s="19"/>
      <c r="M161" s="19"/>
      <c r="N161" s="19"/>
    </row>
    <row r="162" spans="1:14" x14ac:dyDescent="0.25">
      <c r="A162" s="5"/>
      <c r="B162" s="5"/>
      <c r="C162" s="6"/>
      <c r="D162" s="84" t="s">
        <v>3</v>
      </c>
      <c r="E162" s="86"/>
      <c r="F162" s="86"/>
      <c r="G162" s="7"/>
      <c r="H162" s="5"/>
      <c r="I162" s="84" t="s">
        <v>14</v>
      </c>
      <c r="J162" s="84"/>
      <c r="K162" s="84"/>
      <c r="L162" s="84" t="s">
        <v>15</v>
      </c>
      <c r="M162" s="84"/>
      <c r="N162" s="84"/>
    </row>
    <row r="163" spans="1:14" ht="37.5" x14ac:dyDescent="0.25">
      <c r="A163" s="8" t="s">
        <v>0</v>
      </c>
      <c r="B163" s="8" t="s">
        <v>1</v>
      </c>
      <c r="C163" s="77" t="s">
        <v>2</v>
      </c>
      <c r="D163" s="78" t="s">
        <v>4</v>
      </c>
      <c r="E163" s="78" t="s">
        <v>5</v>
      </c>
      <c r="F163" s="78" t="s">
        <v>6</v>
      </c>
      <c r="G163" s="77" t="s">
        <v>7</v>
      </c>
      <c r="H163" s="9" t="s">
        <v>8</v>
      </c>
      <c r="I163" s="10" t="s">
        <v>16</v>
      </c>
      <c r="J163" s="10" t="s">
        <v>17</v>
      </c>
      <c r="K163" s="10" t="s">
        <v>18</v>
      </c>
      <c r="L163" s="10" t="s">
        <v>19</v>
      </c>
      <c r="M163" s="10" t="s">
        <v>20</v>
      </c>
      <c r="N163" s="10" t="s">
        <v>21</v>
      </c>
    </row>
    <row r="164" spans="1:14" x14ac:dyDescent="0.25">
      <c r="A164" s="85" t="s">
        <v>10</v>
      </c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</row>
    <row r="165" spans="1:14" x14ac:dyDescent="0.25">
      <c r="A165" s="83" t="s">
        <v>98</v>
      </c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</row>
    <row r="166" spans="1:14" x14ac:dyDescent="0.25">
      <c r="A166" s="118" t="s">
        <v>31</v>
      </c>
      <c r="B166" s="53" t="s">
        <v>99</v>
      </c>
      <c r="C166" s="27">
        <v>100</v>
      </c>
      <c r="D166" s="79">
        <v>1.3</v>
      </c>
      <c r="E166" s="79">
        <v>8.1999999999999993</v>
      </c>
      <c r="F166" s="79">
        <v>6.6</v>
      </c>
      <c r="G166" s="11">
        <v>105</v>
      </c>
      <c r="H166" s="79"/>
      <c r="I166" s="79">
        <v>20</v>
      </c>
      <c r="J166" s="79">
        <v>11.2</v>
      </c>
      <c r="K166" s="79">
        <v>0.48</v>
      </c>
      <c r="L166" s="79">
        <v>2.4E-2</v>
      </c>
      <c r="M166" s="79">
        <v>3.2000000000000001E-2</v>
      </c>
      <c r="N166" s="79">
        <v>8</v>
      </c>
    </row>
    <row r="167" spans="1:14" x14ac:dyDescent="0.25">
      <c r="A167" s="119"/>
      <c r="B167" s="53" t="s">
        <v>100</v>
      </c>
      <c r="C167" s="27">
        <v>100</v>
      </c>
      <c r="D167" s="79">
        <v>2</v>
      </c>
      <c r="E167" s="79">
        <v>5.6</v>
      </c>
      <c r="F167" s="79">
        <v>4.8</v>
      </c>
      <c r="G167" s="11">
        <v>77</v>
      </c>
      <c r="H167" s="79">
        <v>45</v>
      </c>
      <c r="I167" s="79">
        <v>37.9</v>
      </c>
      <c r="J167" s="79">
        <v>15.22</v>
      </c>
      <c r="K167" s="79">
        <v>0.71</v>
      </c>
      <c r="L167" s="79">
        <v>0.03</v>
      </c>
      <c r="M167" s="79">
        <v>0.06</v>
      </c>
      <c r="N167" s="79">
        <v>33.020000000000003</v>
      </c>
    </row>
    <row r="168" spans="1:14" ht="30" x14ac:dyDescent="0.25">
      <c r="A168" s="120"/>
      <c r="B168" s="53" t="s">
        <v>30</v>
      </c>
      <c r="C168" s="27">
        <v>100</v>
      </c>
      <c r="D168" s="79">
        <v>2.72</v>
      </c>
      <c r="E168" s="79">
        <v>7.31</v>
      </c>
      <c r="F168" s="79">
        <v>9.86</v>
      </c>
      <c r="G168" s="11">
        <v>116.11</v>
      </c>
      <c r="H168" s="79">
        <v>40</v>
      </c>
      <c r="I168" s="79">
        <v>23.9</v>
      </c>
      <c r="J168" s="79">
        <v>22.7</v>
      </c>
      <c r="K168" s="79">
        <v>0.93</v>
      </c>
      <c r="L168" s="79">
        <v>0.08</v>
      </c>
      <c r="M168" s="79">
        <v>0.08</v>
      </c>
      <c r="N168" s="79">
        <v>6.35</v>
      </c>
    </row>
    <row r="169" spans="1:14" ht="30" x14ac:dyDescent="0.25">
      <c r="A169" s="118" t="s">
        <v>33</v>
      </c>
      <c r="B169" s="53" t="s">
        <v>101</v>
      </c>
      <c r="C169" s="27">
        <v>250</v>
      </c>
      <c r="D169" s="27">
        <v>9.9</v>
      </c>
      <c r="E169" s="27">
        <v>9.4</v>
      </c>
      <c r="F169" s="27">
        <v>17.899999999999999</v>
      </c>
      <c r="G169" s="26">
        <v>195.4</v>
      </c>
      <c r="H169" s="59">
        <v>104</v>
      </c>
      <c r="I169" s="27">
        <v>36.9</v>
      </c>
      <c r="J169" s="27">
        <v>36.200000000000003</v>
      </c>
      <c r="K169" s="27">
        <v>2.15</v>
      </c>
      <c r="L169" s="27">
        <v>0.11</v>
      </c>
      <c r="M169" s="27">
        <v>0.12</v>
      </c>
      <c r="N169" s="27">
        <v>9</v>
      </c>
    </row>
    <row r="170" spans="1:14" ht="30" x14ac:dyDescent="0.25">
      <c r="A170" s="120"/>
      <c r="B170" s="53" t="s">
        <v>32</v>
      </c>
      <c r="C170" s="27">
        <v>250</v>
      </c>
      <c r="D170" s="27">
        <v>6</v>
      </c>
      <c r="E170" s="27">
        <v>9.75</v>
      </c>
      <c r="F170" s="27">
        <v>12.87</v>
      </c>
      <c r="G170" s="26">
        <v>164.12</v>
      </c>
      <c r="H170" s="59">
        <v>82</v>
      </c>
      <c r="I170" s="27">
        <v>28.94</v>
      </c>
      <c r="J170" s="27">
        <v>20.97</v>
      </c>
      <c r="K170" s="27">
        <v>0.95</v>
      </c>
      <c r="L170" s="27">
        <v>0.04</v>
      </c>
      <c r="M170" s="27">
        <v>0.04</v>
      </c>
      <c r="N170" s="27">
        <v>7.94</v>
      </c>
    </row>
    <row r="171" spans="1:14" ht="30" x14ac:dyDescent="0.25">
      <c r="A171" s="115" t="s">
        <v>35</v>
      </c>
      <c r="B171" s="53" t="s">
        <v>102</v>
      </c>
      <c r="C171" s="13">
        <v>280</v>
      </c>
      <c r="D171" s="13">
        <f>19+3.48</f>
        <v>22.48</v>
      </c>
      <c r="E171" s="13">
        <f>12.8+7.56</f>
        <v>20.36</v>
      </c>
      <c r="F171" s="13">
        <f>18.3+9.72</f>
        <v>28.020000000000003</v>
      </c>
      <c r="G171" s="11">
        <f>266+375.96</f>
        <v>641.96</v>
      </c>
      <c r="H171" s="13" t="s">
        <v>103</v>
      </c>
      <c r="I171" s="79">
        <f>55.55+16.88</f>
        <v>72.429999999999993</v>
      </c>
      <c r="J171" s="79">
        <f>35.58+37.73</f>
        <v>73.31</v>
      </c>
      <c r="K171" s="79">
        <f>1.18+1.48</f>
        <v>2.66</v>
      </c>
      <c r="L171" s="79">
        <f>0.17+0.15</f>
        <v>0.32</v>
      </c>
      <c r="M171" s="79">
        <f>0.16+0.1</f>
        <v>0.26</v>
      </c>
      <c r="N171" s="79">
        <f>0.45+7.29</f>
        <v>7.74</v>
      </c>
    </row>
    <row r="172" spans="1:14" ht="30" x14ac:dyDescent="0.25">
      <c r="A172" s="117"/>
      <c r="B172" s="53" t="s">
        <v>104</v>
      </c>
      <c r="C172" s="13">
        <v>280</v>
      </c>
      <c r="D172" s="13">
        <f>24.1+6.48</f>
        <v>30.580000000000002</v>
      </c>
      <c r="E172" s="13">
        <f>16.8+7.87</f>
        <v>24.67</v>
      </c>
      <c r="F172" s="13">
        <f>16.2+41.04</f>
        <v>57.239999999999995</v>
      </c>
      <c r="G172" s="11">
        <f>314+258.48</f>
        <v>572.48</v>
      </c>
      <c r="H172" s="13" t="s">
        <v>105</v>
      </c>
      <c r="I172" s="79">
        <f>36.87+11.31</f>
        <v>48.18</v>
      </c>
      <c r="J172" s="79">
        <f>28.35+9.07</f>
        <v>37.42</v>
      </c>
      <c r="K172" s="79">
        <f>7.57+0.92</f>
        <v>8.49</v>
      </c>
      <c r="L172" s="79">
        <f>0.28+0.07</f>
        <v>0.35000000000000003</v>
      </c>
      <c r="M172" s="79">
        <f>2.04+0.02</f>
        <v>2.06</v>
      </c>
      <c r="N172" s="79">
        <f>14.86+0</f>
        <v>14.86</v>
      </c>
    </row>
    <row r="173" spans="1:14" ht="30" x14ac:dyDescent="0.25">
      <c r="A173" s="116"/>
      <c r="B173" s="53" t="s">
        <v>106</v>
      </c>
      <c r="C173" s="27">
        <v>280</v>
      </c>
      <c r="D173" s="35">
        <f>5.04+15.29</f>
        <v>20.329999999999998</v>
      </c>
      <c r="E173" s="35">
        <f>8.62+17.27</f>
        <v>25.89</v>
      </c>
      <c r="F173" s="35">
        <f>49.2+4.4</f>
        <v>53.6</v>
      </c>
      <c r="G173" s="34">
        <f>295.2+234.3</f>
        <v>529.5</v>
      </c>
      <c r="H173" s="68" t="s">
        <v>107</v>
      </c>
      <c r="I173" s="14">
        <f>5.48+12.05</f>
        <v>17.53</v>
      </c>
      <c r="J173" s="14">
        <f>29.94+19.75</f>
        <v>49.69</v>
      </c>
      <c r="K173" s="14">
        <f>0.62+1.96</f>
        <v>2.58</v>
      </c>
      <c r="L173" s="14">
        <f>0.04+0.04</f>
        <v>0.08</v>
      </c>
      <c r="M173" s="14">
        <f>0.03+0.08</f>
        <v>0.11</v>
      </c>
      <c r="N173" s="14">
        <f>2+1.02</f>
        <v>3.02</v>
      </c>
    </row>
    <row r="174" spans="1:14" x14ac:dyDescent="0.25">
      <c r="A174" s="27"/>
      <c r="B174" s="53" t="s">
        <v>36</v>
      </c>
      <c r="C174" s="27">
        <v>30</v>
      </c>
      <c r="D174" s="15">
        <v>2.6</v>
      </c>
      <c r="E174" s="15">
        <v>0.4</v>
      </c>
      <c r="F174" s="15">
        <v>17</v>
      </c>
      <c r="G174" s="12">
        <v>81.599999999999994</v>
      </c>
      <c r="H174" s="69"/>
      <c r="I174" s="14">
        <v>7.2</v>
      </c>
      <c r="J174" s="14">
        <v>7.6</v>
      </c>
      <c r="K174" s="14">
        <v>1.6</v>
      </c>
      <c r="L174" s="14">
        <v>7.0000000000000007E-2</v>
      </c>
      <c r="M174" s="14">
        <v>0.03</v>
      </c>
      <c r="N174" s="14">
        <v>0</v>
      </c>
    </row>
    <row r="175" spans="1:14" x14ac:dyDescent="0.25">
      <c r="A175" s="27"/>
      <c r="B175" s="53" t="s">
        <v>22</v>
      </c>
      <c r="C175" s="27">
        <v>20</v>
      </c>
      <c r="D175" s="13">
        <v>2.2999999999999998</v>
      </c>
      <c r="E175" s="13">
        <v>0.2</v>
      </c>
      <c r="F175" s="13">
        <v>15.1</v>
      </c>
      <c r="G175" s="11">
        <v>71</v>
      </c>
      <c r="H175" s="69"/>
      <c r="I175" s="14">
        <v>6.9</v>
      </c>
      <c r="J175" s="14">
        <v>9.9</v>
      </c>
      <c r="K175" s="14">
        <v>0.6</v>
      </c>
      <c r="L175" s="14">
        <v>0.05</v>
      </c>
      <c r="M175" s="14">
        <v>0.02</v>
      </c>
      <c r="N175" s="16">
        <v>0</v>
      </c>
    </row>
    <row r="176" spans="1:14" x14ac:dyDescent="0.25">
      <c r="A176" s="118" t="s">
        <v>40</v>
      </c>
      <c r="B176" s="53" t="s">
        <v>54</v>
      </c>
      <c r="C176" s="27"/>
      <c r="D176" s="13"/>
      <c r="E176" s="13"/>
      <c r="F176" s="13"/>
      <c r="G176" s="11"/>
      <c r="H176" s="69"/>
      <c r="I176" s="14"/>
      <c r="J176" s="14"/>
      <c r="K176" s="14"/>
      <c r="L176" s="14"/>
      <c r="M176" s="14"/>
      <c r="N176" s="16"/>
    </row>
    <row r="177" spans="1:14" x14ac:dyDescent="0.25">
      <c r="A177" s="120"/>
      <c r="B177" s="53" t="s">
        <v>69</v>
      </c>
      <c r="C177" s="27">
        <v>200</v>
      </c>
      <c r="D177" s="35">
        <v>0.4</v>
      </c>
      <c r="E177" s="35">
        <v>0.1</v>
      </c>
      <c r="F177" s="35">
        <v>28.4</v>
      </c>
      <c r="G177" s="34">
        <v>118.1</v>
      </c>
      <c r="H177" s="60">
        <v>375</v>
      </c>
      <c r="I177" s="79">
        <v>14.62</v>
      </c>
      <c r="J177" s="79">
        <v>8.5</v>
      </c>
      <c r="K177" s="79">
        <v>0.92</v>
      </c>
      <c r="L177" s="79">
        <v>7.0000000000000007E-2</v>
      </c>
      <c r="M177" s="79">
        <v>0.21</v>
      </c>
      <c r="N177" s="79">
        <v>0.28999999999999998</v>
      </c>
    </row>
    <row r="178" spans="1:14" ht="37.5" x14ac:dyDescent="0.25">
      <c r="A178" s="27"/>
      <c r="B178" s="11" t="s">
        <v>39</v>
      </c>
      <c r="C178" s="13">
        <v>60</v>
      </c>
      <c r="D178" s="13">
        <v>1.7</v>
      </c>
      <c r="E178" s="13">
        <v>2</v>
      </c>
      <c r="F178" s="13">
        <v>46.4</v>
      </c>
      <c r="G178" s="11">
        <v>212.4</v>
      </c>
      <c r="H178" s="13"/>
      <c r="I178" s="79">
        <v>9.6</v>
      </c>
      <c r="J178" s="79">
        <v>6</v>
      </c>
      <c r="K178" s="79">
        <v>0.9</v>
      </c>
      <c r="L178" s="79">
        <v>0.02</v>
      </c>
      <c r="M178" s="79">
        <v>0.02</v>
      </c>
      <c r="N178" s="79">
        <v>0</v>
      </c>
    </row>
    <row r="179" spans="1:14" x14ac:dyDescent="0.25">
      <c r="A179" s="27"/>
      <c r="B179" s="28" t="s">
        <v>9</v>
      </c>
      <c r="C179" s="28">
        <f>SUM(C166:C178)</f>
        <v>1950</v>
      </c>
      <c r="D179" s="28">
        <f>SUM(D166:D178)</f>
        <v>102.31</v>
      </c>
      <c r="E179" s="28">
        <f>SUM(E166:E178)</f>
        <v>113.88</v>
      </c>
      <c r="F179" s="28">
        <f>SUM(F166:F178)</f>
        <v>297.78999999999996</v>
      </c>
      <c r="G179" s="29">
        <f>SUM(G166:G178)</f>
        <v>2884.67</v>
      </c>
      <c r="H179" s="27"/>
      <c r="I179" s="28">
        <f t="shared" ref="I179:N179" si="6">SUM(I166:I178)</f>
        <v>324.09999999999997</v>
      </c>
      <c r="J179" s="28">
        <f t="shared" si="6"/>
        <v>298.71000000000004</v>
      </c>
      <c r="K179" s="28">
        <f t="shared" si="6"/>
        <v>22.970000000000006</v>
      </c>
      <c r="L179" s="28">
        <f t="shared" si="6"/>
        <v>1.2440000000000002</v>
      </c>
      <c r="M179" s="33">
        <f t="shared" si="6"/>
        <v>3.0419999999999998</v>
      </c>
      <c r="N179" s="28">
        <f t="shared" si="6"/>
        <v>90.22</v>
      </c>
    </row>
    <row r="180" spans="1:14" x14ac:dyDescent="0.25">
      <c r="A180" s="30"/>
      <c r="B180" s="30"/>
      <c r="C180" s="30"/>
      <c r="D180" s="30"/>
      <c r="E180" s="30"/>
      <c r="F180" s="30"/>
      <c r="G180" s="31"/>
      <c r="H180" s="30"/>
      <c r="I180" s="32"/>
      <c r="J180" s="32"/>
      <c r="K180" s="32"/>
      <c r="L180" s="32"/>
      <c r="M180" s="32"/>
      <c r="N180" s="32"/>
    </row>
    <row r="181" spans="1:14" x14ac:dyDescent="0.25">
      <c r="A181" s="18"/>
      <c r="B181" s="18"/>
      <c r="C181" s="18"/>
      <c r="D181" s="18"/>
      <c r="E181" s="18"/>
      <c r="F181" s="18"/>
      <c r="G181" s="7"/>
      <c r="H181" s="18"/>
      <c r="I181" s="19"/>
      <c r="J181" s="19"/>
      <c r="K181" s="19"/>
      <c r="L181" s="19"/>
      <c r="M181" s="19"/>
      <c r="N181" s="19"/>
    </row>
    <row r="182" spans="1:14" x14ac:dyDescent="0.25">
      <c r="A182" s="18"/>
      <c r="B182" s="18"/>
      <c r="C182" s="18"/>
      <c r="D182" s="18"/>
      <c r="E182" s="18"/>
      <c r="F182" s="18"/>
      <c r="G182" s="7"/>
      <c r="H182" s="18"/>
      <c r="I182" s="19"/>
      <c r="J182" s="19"/>
      <c r="K182" s="19"/>
      <c r="L182" s="19"/>
      <c r="M182" s="19"/>
      <c r="N182" s="19"/>
    </row>
    <row r="183" spans="1:14" x14ac:dyDescent="0.25">
      <c r="A183" s="5"/>
      <c r="B183" s="5"/>
      <c r="C183" s="6"/>
      <c r="D183" s="84" t="s">
        <v>3</v>
      </c>
      <c r="E183" s="86"/>
      <c r="F183" s="86"/>
      <c r="G183" s="7"/>
      <c r="H183" s="5"/>
      <c r="I183" s="84" t="s">
        <v>14</v>
      </c>
      <c r="J183" s="84"/>
      <c r="K183" s="84"/>
      <c r="L183" s="84" t="s">
        <v>15</v>
      </c>
      <c r="M183" s="84"/>
      <c r="N183" s="84"/>
    </row>
    <row r="184" spans="1:14" ht="37.5" x14ac:dyDescent="0.25">
      <c r="A184" s="8" t="s">
        <v>0</v>
      </c>
      <c r="B184" s="8" t="s">
        <v>1</v>
      </c>
      <c r="C184" s="77" t="s">
        <v>2</v>
      </c>
      <c r="D184" s="78" t="s">
        <v>4</v>
      </c>
      <c r="E184" s="78" t="s">
        <v>5</v>
      </c>
      <c r="F184" s="78" t="s">
        <v>6</v>
      </c>
      <c r="G184" s="77" t="s">
        <v>7</v>
      </c>
      <c r="H184" s="9" t="s">
        <v>8</v>
      </c>
      <c r="I184" s="10" t="s">
        <v>16</v>
      </c>
      <c r="J184" s="10" t="s">
        <v>17</v>
      </c>
      <c r="K184" s="10" t="s">
        <v>18</v>
      </c>
      <c r="L184" s="10" t="s">
        <v>19</v>
      </c>
      <c r="M184" s="10" t="s">
        <v>20</v>
      </c>
      <c r="N184" s="10" t="s">
        <v>21</v>
      </c>
    </row>
    <row r="185" spans="1:14" x14ac:dyDescent="0.25">
      <c r="A185" s="85" t="s">
        <v>28</v>
      </c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</row>
    <row r="186" spans="1:14" x14ac:dyDescent="0.25">
      <c r="A186" s="83" t="s">
        <v>108</v>
      </c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</row>
    <row r="187" spans="1:14" ht="45" x14ac:dyDescent="0.25">
      <c r="A187" s="115" t="s">
        <v>31</v>
      </c>
      <c r="B187" s="53" t="s">
        <v>109</v>
      </c>
      <c r="C187" s="36">
        <v>100</v>
      </c>
      <c r="D187" s="36">
        <v>1.1100000000000001</v>
      </c>
      <c r="E187" s="36">
        <v>6.08</v>
      </c>
      <c r="F187" s="36">
        <v>3.75</v>
      </c>
      <c r="G187" s="40">
        <v>74.099999999999994</v>
      </c>
      <c r="H187" s="36">
        <v>27</v>
      </c>
      <c r="I187" s="36">
        <v>22.71</v>
      </c>
      <c r="J187" s="36">
        <v>15.63</v>
      </c>
      <c r="K187" s="36">
        <v>0.78</v>
      </c>
      <c r="L187" s="36">
        <v>0.96</v>
      </c>
      <c r="M187" s="36">
        <v>0.06</v>
      </c>
      <c r="N187" s="36">
        <v>57.46</v>
      </c>
    </row>
    <row r="188" spans="1:14" ht="15" x14ac:dyDescent="0.25">
      <c r="A188" s="117"/>
      <c r="B188" s="53" t="s">
        <v>110</v>
      </c>
      <c r="C188" s="36">
        <v>100</v>
      </c>
      <c r="D188" s="36">
        <v>1.5</v>
      </c>
      <c r="E188" s="36">
        <v>3.5</v>
      </c>
      <c r="F188" s="36">
        <v>7.4</v>
      </c>
      <c r="G188" s="40">
        <v>67</v>
      </c>
      <c r="H188" s="36">
        <v>30</v>
      </c>
      <c r="I188" s="36">
        <v>17.89</v>
      </c>
      <c r="J188" s="36">
        <v>18.170000000000002</v>
      </c>
      <c r="K188" s="36">
        <v>0.56000000000000005</v>
      </c>
      <c r="L188" s="36">
        <v>0.06</v>
      </c>
      <c r="M188" s="36">
        <v>0.04</v>
      </c>
      <c r="N188" s="36">
        <v>2.86</v>
      </c>
    </row>
    <row r="189" spans="1:14" ht="30" x14ac:dyDescent="0.25">
      <c r="A189" s="116"/>
      <c r="B189" s="53" t="s">
        <v>111</v>
      </c>
      <c r="C189" s="36">
        <v>100</v>
      </c>
      <c r="D189" s="36"/>
      <c r="E189" s="36"/>
      <c r="F189" s="36"/>
      <c r="G189" s="40"/>
      <c r="H189" s="36"/>
      <c r="I189" s="36"/>
      <c r="J189" s="36"/>
      <c r="K189" s="36"/>
      <c r="L189" s="36"/>
      <c r="M189" s="36"/>
      <c r="N189" s="36"/>
    </row>
    <row r="190" spans="1:14" ht="30" x14ac:dyDescent="0.25">
      <c r="A190" s="115" t="s">
        <v>33</v>
      </c>
      <c r="B190" s="53" t="s">
        <v>76</v>
      </c>
      <c r="C190" s="39">
        <v>250</v>
      </c>
      <c r="D190" s="39">
        <v>9.25</v>
      </c>
      <c r="E190" s="39">
        <v>12.25</v>
      </c>
      <c r="F190" s="39">
        <v>9.6199999999999992</v>
      </c>
      <c r="G190" s="40">
        <v>186.6</v>
      </c>
      <c r="H190" s="56">
        <v>89</v>
      </c>
      <c r="I190" s="36">
        <v>98.6</v>
      </c>
      <c r="J190" s="36">
        <v>73.8</v>
      </c>
      <c r="K190" s="36">
        <v>3.3</v>
      </c>
      <c r="L190" s="36">
        <v>0.11</v>
      </c>
      <c r="M190" s="36">
        <v>0.11</v>
      </c>
      <c r="N190" s="36">
        <v>19.13</v>
      </c>
    </row>
    <row r="191" spans="1:14" ht="30" x14ac:dyDescent="0.25">
      <c r="A191" s="116"/>
      <c r="B191" s="53" t="s">
        <v>43</v>
      </c>
      <c r="C191" s="39">
        <v>250</v>
      </c>
      <c r="D191" s="39">
        <v>9.3699999999999992</v>
      </c>
      <c r="E191" s="39">
        <v>8.25</v>
      </c>
      <c r="F191" s="39">
        <v>19</v>
      </c>
      <c r="G191" s="40">
        <v>187.5</v>
      </c>
      <c r="H191" s="56">
        <v>99</v>
      </c>
      <c r="I191" s="36">
        <v>15.49</v>
      </c>
      <c r="J191" s="36">
        <v>24.01</v>
      </c>
      <c r="K191" s="36">
        <v>0.91</v>
      </c>
      <c r="L191" s="36">
        <v>0.08</v>
      </c>
      <c r="M191" s="36">
        <v>0.06</v>
      </c>
      <c r="N191" s="36">
        <v>7</v>
      </c>
    </row>
    <row r="192" spans="1:14" ht="45" x14ac:dyDescent="0.25">
      <c r="A192" s="115" t="s">
        <v>35</v>
      </c>
      <c r="B192" s="53" t="s">
        <v>112</v>
      </c>
      <c r="C192" s="36">
        <v>280</v>
      </c>
      <c r="D192" s="41">
        <f>20.8+5.04</f>
        <v>25.84</v>
      </c>
      <c r="E192" s="41">
        <f>16.3+8.62</f>
        <v>24.92</v>
      </c>
      <c r="F192" s="41">
        <f>3.2+49.2</f>
        <v>52.400000000000006</v>
      </c>
      <c r="G192" s="38">
        <f>244+295.2</f>
        <v>539.20000000000005</v>
      </c>
      <c r="H192" s="59" t="s">
        <v>113</v>
      </c>
      <c r="I192" s="37">
        <f>17.26+5.48</f>
        <v>22.740000000000002</v>
      </c>
      <c r="J192" s="37">
        <f>19.72+29.94</f>
        <v>49.66</v>
      </c>
      <c r="K192" s="37">
        <f>2.12+0.62</f>
        <v>2.74</v>
      </c>
      <c r="L192" s="37">
        <f>0.03+0.04</f>
        <v>7.0000000000000007E-2</v>
      </c>
      <c r="M192" s="37">
        <f>0.08+0.03</f>
        <v>0.11</v>
      </c>
      <c r="N192" s="37">
        <f>0.06+2</f>
        <v>2.06</v>
      </c>
    </row>
    <row r="193" spans="1:14" ht="30" x14ac:dyDescent="0.25">
      <c r="A193" s="117"/>
      <c r="B193" s="53" t="s">
        <v>65</v>
      </c>
      <c r="C193" s="36">
        <v>280</v>
      </c>
      <c r="D193" s="41">
        <v>18.239999999999998</v>
      </c>
      <c r="E193" s="41">
        <v>34.06</v>
      </c>
      <c r="F193" s="41">
        <v>64</v>
      </c>
      <c r="G193" s="38">
        <v>573.03</v>
      </c>
      <c r="H193" s="59" t="s">
        <v>66</v>
      </c>
      <c r="I193" s="37">
        <v>54.66</v>
      </c>
      <c r="J193" s="37">
        <v>44.84</v>
      </c>
      <c r="K193" s="37">
        <v>2.77</v>
      </c>
      <c r="L193" s="37">
        <v>0.15</v>
      </c>
      <c r="M193" s="37">
        <v>0.17</v>
      </c>
      <c r="N193" s="37">
        <v>0.38</v>
      </c>
    </row>
    <row r="194" spans="1:14" ht="30" x14ac:dyDescent="0.25">
      <c r="A194" s="116"/>
      <c r="B194" s="53" t="s">
        <v>114</v>
      </c>
      <c r="C194" s="39">
        <v>280</v>
      </c>
      <c r="D194" s="37">
        <f>3.48+18.5</f>
        <v>21.98</v>
      </c>
      <c r="E194" s="37">
        <f>26.29+7.56</f>
        <v>33.85</v>
      </c>
      <c r="F194" s="37">
        <f>9.72+8.91</f>
        <v>18.630000000000003</v>
      </c>
      <c r="G194" s="48">
        <f>344.63+375.96</f>
        <v>720.58999999999992</v>
      </c>
      <c r="H194" s="56" t="s">
        <v>71</v>
      </c>
      <c r="I194" s="36">
        <f>43.35+16.88</f>
        <v>60.230000000000004</v>
      </c>
      <c r="J194" s="36">
        <f>37.73+35.77</f>
        <v>73.5</v>
      </c>
      <c r="K194" s="36">
        <f>1.85+1.48</f>
        <v>3.33</v>
      </c>
      <c r="L194" s="36">
        <f>0.15+0.08</f>
        <v>0.22999999999999998</v>
      </c>
      <c r="M194" s="36">
        <f>0.15+0.1</f>
        <v>0.25</v>
      </c>
      <c r="N194" s="36">
        <f>7.29+0.38</f>
        <v>7.67</v>
      </c>
    </row>
    <row r="195" spans="1:14" ht="15" x14ac:dyDescent="0.25">
      <c r="A195" s="36"/>
      <c r="B195" s="53" t="s">
        <v>36</v>
      </c>
      <c r="C195" s="39">
        <v>30</v>
      </c>
      <c r="D195" s="42">
        <v>2.6</v>
      </c>
      <c r="E195" s="42">
        <v>0.4</v>
      </c>
      <c r="F195" s="42">
        <v>17</v>
      </c>
      <c r="G195" s="38">
        <v>81.599999999999994</v>
      </c>
      <c r="H195" s="61"/>
      <c r="I195" s="37">
        <v>7.2</v>
      </c>
      <c r="J195" s="37">
        <v>7.6</v>
      </c>
      <c r="K195" s="37">
        <v>1.6</v>
      </c>
      <c r="L195" s="37">
        <v>7.0000000000000007E-2</v>
      </c>
      <c r="M195" s="37">
        <v>0.03</v>
      </c>
      <c r="N195" s="37">
        <v>0</v>
      </c>
    </row>
    <row r="196" spans="1:14" ht="15" x14ac:dyDescent="0.25">
      <c r="A196" s="36"/>
      <c r="B196" s="53" t="s">
        <v>11</v>
      </c>
      <c r="C196" s="39">
        <v>20</v>
      </c>
      <c r="D196" s="39">
        <v>2.2999999999999998</v>
      </c>
      <c r="E196" s="39">
        <v>0.2</v>
      </c>
      <c r="F196" s="39">
        <v>15.1</v>
      </c>
      <c r="G196" s="40">
        <v>71</v>
      </c>
      <c r="H196" s="61"/>
      <c r="I196" s="37">
        <v>6.9</v>
      </c>
      <c r="J196" s="37">
        <v>9.9</v>
      </c>
      <c r="K196" s="37">
        <v>0.6</v>
      </c>
      <c r="L196" s="37">
        <v>0.05</v>
      </c>
      <c r="M196" s="37">
        <v>0.02</v>
      </c>
      <c r="N196" s="43">
        <v>0</v>
      </c>
    </row>
    <row r="197" spans="1:14" ht="30" x14ac:dyDescent="0.25">
      <c r="A197" s="115" t="s">
        <v>40</v>
      </c>
      <c r="B197" s="53" t="s">
        <v>115</v>
      </c>
      <c r="C197" s="39">
        <v>200</v>
      </c>
      <c r="D197" s="39">
        <v>0</v>
      </c>
      <c r="E197" s="39">
        <v>0</v>
      </c>
      <c r="F197" s="39">
        <v>19.399999999999999</v>
      </c>
      <c r="G197" s="40">
        <v>77.400000000000006</v>
      </c>
      <c r="H197" s="61">
        <v>349</v>
      </c>
      <c r="I197" s="37">
        <v>8.4600000000000009</v>
      </c>
      <c r="J197" s="37">
        <v>1.8</v>
      </c>
      <c r="K197" s="37">
        <v>0</v>
      </c>
      <c r="L197" s="37">
        <v>0.03</v>
      </c>
      <c r="M197" s="37">
        <v>0.02</v>
      </c>
      <c r="N197" s="43">
        <v>0</v>
      </c>
    </row>
    <row r="198" spans="1:14" ht="15" x14ac:dyDescent="0.25">
      <c r="A198" s="116"/>
      <c r="B198" s="53" t="s">
        <v>54</v>
      </c>
      <c r="C198" s="39">
        <v>200</v>
      </c>
      <c r="D198" s="49">
        <v>0.2</v>
      </c>
      <c r="E198" s="49">
        <v>0.1</v>
      </c>
      <c r="F198" s="49">
        <v>15</v>
      </c>
      <c r="G198" s="48">
        <v>60</v>
      </c>
      <c r="H198" s="56">
        <v>442</v>
      </c>
      <c r="I198" s="36">
        <v>0.26</v>
      </c>
      <c r="J198" s="36">
        <v>0</v>
      </c>
      <c r="K198" s="36">
        <v>0.03</v>
      </c>
      <c r="L198" s="36">
        <v>0</v>
      </c>
      <c r="M198" s="36">
        <v>0</v>
      </c>
      <c r="N198" s="36">
        <v>0</v>
      </c>
    </row>
    <row r="199" spans="1:14" ht="15" x14ac:dyDescent="0.25">
      <c r="A199" s="36"/>
      <c r="B199" s="63" t="s">
        <v>55</v>
      </c>
      <c r="C199" s="39">
        <v>100</v>
      </c>
      <c r="D199" s="39">
        <v>0.4</v>
      </c>
      <c r="E199" s="39">
        <v>0.4</v>
      </c>
      <c r="F199" s="39">
        <v>9.8000000000000007</v>
      </c>
      <c r="G199" s="40">
        <v>47</v>
      </c>
      <c r="H199" s="64"/>
      <c r="I199" s="36">
        <v>16</v>
      </c>
      <c r="J199" s="36">
        <v>8</v>
      </c>
      <c r="K199" s="36">
        <v>2.2000000000000002</v>
      </c>
      <c r="L199" s="36">
        <v>0.03</v>
      </c>
      <c r="M199" s="36">
        <v>0.02</v>
      </c>
      <c r="N199" s="36">
        <v>10</v>
      </c>
    </row>
    <row r="200" spans="1:14" x14ac:dyDescent="0.25">
      <c r="A200" s="36"/>
      <c r="B200" s="81" t="s">
        <v>9</v>
      </c>
      <c r="C200" s="81">
        <f>SUM(C187:C199)</f>
        <v>2190</v>
      </c>
      <c r="D200" s="81">
        <f>SUM(D187:D199)</f>
        <v>92.789999999999992</v>
      </c>
      <c r="E200" s="81">
        <f>SUM(E187:E199)</f>
        <v>124.01</v>
      </c>
      <c r="F200" s="81">
        <f>SUM(F187:F199)</f>
        <v>251.10000000000002</v>
      </c>
      <c r="G200" s="8">
        <f>SUM(G187:G199)</f>
        <v>2685.02</v>
      </c>
      <c r="H200" s="76"/>
      <c r="I200" s="81">
        <f>SUM(I187:I199)</f>
        <v>331.13999999999993</v>
      </c>
      <c r="J200" s="81">
        <f t="shared" ref="J200:N200" si="7">SUM(J187:J199)</f>
        <v>326.91000000000003</v>
      </c>
      <c r="K200" s="81">
        <f t="shared" si="7"/>
        <v>18.82</v>
      </c>
      <c r="L200" s="81">
        <f t="shared" si="7"/>
        <v>1.8400000000000003</v>
      </c>
      <c r="M200" s="81">
        <f t="shared" si="7"/>
        <v>0.89000000000000012</v>
      </c>
      <c r="N200" s="81">
        <f t="shared" si="7"/>
        <v>106.56</v>
      </c>
    </row>
    <row r="201" spans="1:14" x14ac:dyDescent="0.25">
      <c r="A201" s="18"/>
      <c r="B201" s="18"/>
      <c r="C201" s="18"/>
      <c r="D201" s="18"/>
      <c r="E201" s="18"/>
      <c r="F201" s="18"/>
      <c r="G201" s="7"/>
      <c r="H201" s="18"/>
      <c r="I201" s="19"/>
      <c r="J201" s="19"/>
      <c r="K201" s="19"/>
      <c r="L201" s="19"/>
      <c r="M201" s="19"/>
      <c r="N201" s="19"/>
    </row>
    <row r="202" spans="1:14" x14ac:dyDescent="0.25">
      <c r="A202" s="18"/>
      <c r="B202" s="18"/>
      <c r="C202" s="18"/>
      <c r="D202" s="18"/>
      <c r="E202" s="18"/>
      <c r="F202" s="18"/>
      <c r="G202" s="7"/>
      <c r="H202" s="18"/>
      <c r="I202" s="19"/>
      <c r="J202" s="19"/>
      <c r="K202" s="19"/>
      <c r="L202" s="19"/>
      <c r="M202" s="19"/>
      <c r="N202" s="19"/>
    </row>
    <row r="203" spans="1:14" x14ac:dyDescent="0.25">
      <c r="A203" s="5"/>
      <c r="B203" s="5"/>
      <c r="C203" s="6"/>
      <c r="D203" s="84" t="s">
        <v>3</v>
      </c>
      <c r="E203" s="86"/>
      <c r="F203" s="86"/>
      <c r="G203" s="7"/>
      <c r="H203" s="5"/>
      <c r="I203" s="84" t="s">
        <v>14</v>
      </c>
      <c r="J203" s="84"/>
      <c r="K203" s="84"/>
      <c r="L203" s="84" t="s">
        <v>15</v>
      </c>
      <c r="M203" s="84"/>
      <c r="N203" s="84"/>
    </row>
    <row r="204" spans="1:14" ht="37.5" x14ac:dyDescent="0.25">
      <c r="A204" s="8" t="s">
        <v>0</v>
      </c>
      <c r="B204" s="8" t="s">
        <v>1</v>
      </c>
      <c r="C204" s="77" t="s">
        <v>2</v>
      </c>
      <c r="D204" s="78" t="s">
        <v>4</v>
      </c>
      <c r="E204" s="78" t="s">
        <v>5</v>
      </c>
      <c r="F204" s="78" t="s">
        <v>6</v>
      </c>
      <c r="G204" s="77" t="s">
        <v>7</v>
      </c>
      <c r="H204" s="9" t="s">
        <v>8</v>
      </c>
      <c r="I204" s="10" t="s">
        <v>16</v>
      </c>
      <c r="J204" s="10" t="s">
        <v>17</v>
      </c>
      <c r="K204" s="10" t="s">
        <v>18</v>
      </c>
      <c r="L204" s="10" t="s">
        <v>19</v>
      </c>
      <c r="M204" s="10" t="s">
        <v>20</v>
      </c>
      <c r="N204" s="10" t="s">
        <v>21</v>
      </c>
    </row>
    <row r="205" spans="1:14" x14ac:dyDescent="0.25">
      <c r="A205" s="85" t="s">
        <v>28</v>
      </c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</row>
    <row r="206" spans="1:14" x14ac:dyDescent="0.25">
      <c r="A206" s="83" t="s">
        <v>116</v>
      </c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</row>
    <row r="207" spans="1:14" ht="30" x14ac:dyDescent="0.25">
      <c r="A207" s="115" t="s">
        <v>31</v>
      </c>
      <c r="B207" s="53" t="s">
        <v>117</v>
      </c>
      <c r="C207" s="39">
        <v>100</v>
      </c>
      <c r="D207" s="37">
        <v>1.66</v>
      </c>
      <c r="E207" s="37">
        <v>5.15</v>
      </c>
      <c r="F207" s="37">
        <v>9.9600000000000009</v>
      </c>
      <c r="G207" s="48">
        <v>93.12</v>
      </c>
      <c r="H207" s="56">
        <v>45</v>
      </c>
      <c r="I207" s="36">
        <v>61.35</v>
      </c>
      <c r="J207" s="36">
        <v>22.76</v>
      </c>
      <c r="K207" s="36">
        <v>0.99</v>
      </c>
      <c r="L207" s="36">
        <v>0.04</v>
      </c>
      <c r="M207" s="36">
        <v>0.05</v>
      </c>
      <c r="N207" s="36">
        <v>50</v>
      </c>
    </row>
    <row r="208" spans="1:14" ht="30" x14ac:dyDescent="0.25">
      <c r="A208" s="117"/>
      <c r="B208" s="53" t="s">
        <v>29</v>
      </c>
      <c r="C208" s="39">
        <v>100</v>
      </c>
      <c r="D208" s="37">
        <v>1.02</v>
      </c>
      <c r="E208" s="37">
        <v>5.27</v>
      </c>
      <c r="F208" s="37">
        <v>3.06</v>
      </c>
      <c r="G208" s="48">
        <v>65.45</v>
      </c>
      <c r="H208" s="56">
        <v>21</v>
      </c>
      <c r="I208" s="36">
        <v>24.35</v>
      </c>
      <c r="J208" s="36">
        <v>14.6</v>
      </c>
      <c r="K208" s="36">
        <v>0.68</v>
      </c>
      <c r="L208" s="36">
        <v>0.03</v>
      </c>
      <c r="M208" s="36">
        <v>2E-3</v>
      </c>
      <c r="N208" s="36">
        <v>3.79</v>
      </c>
    </row>
    <row r="209" spans="1:14" ht="15" x14ac:dyDescent="0.25">
      <c r="A209" s="116"/>
      <c r="B209" s="53" t="s">
        <v>63</v>
      </c>
      <c r="C209" s="39">
        <v>100</v>
      </c>
      <c r="D209" s="37">
        <v>1.33</v>
      </c>
      <c r="E209" s="37">
        <v>10.130000000000001</v>
      </c>
      <c r="F209" s="37">
        <v>7.3</v>
      </c>
      <c r="G209" s="48">
        <v>126.65</v>
      </c>
      <c r="H209" s="56">
        <v>67</v>
      </c>
      <c r="I209" s="36">
        <v>23.23</v>
      </c>
      <c r="J209" s="36">
        <v>16.16</v>
      </c>
      <c r="K209" s="36">
        <v>0.67</v>
      </c>
      <c r="L209" s="36">
        <v>0.03</v>
      </c>
      <c r="M209" s="36">
        <v>0.03</v>
      </c>
      <c r="N209" s="36">
        <v>5.18</v>
      </c>
    </row>
    <row r="210" spans="1:14" ht="30" x14ac:dyDescent="0.25">
      <c r="A210" s="115" t="s">
        <v>33</v>
      </c>
      <c r="B210" s="53" t="s">
        <v>118</v>
      </c>
      <c r="C210" s="39">
        <v>250</v>
      </c>
      <c r="D210" s="39">
        <v>2.6</v>
      </c>
      <c r="E210" s="39">
        <v>4.3</v>
      </c>
      <c r="F210" s="39">
        <v>11.6</v>
      </c>
      <c r="G210" s="40">
        <v>96</v>
      </c>
      <c r="H210" s="59">
        <v>113</v>
      </c>
      <c r="I210" s="36">
        <v>11.61</v>
      </c>
      <c r="J210" s="36">
        <v>7.18</v>
      </c>
      <c r="K210" s="36">
        <v>0.41</v>
      </c>
      <c r="L210" s="36">
        <v>0.02</v>
      </c>
      <c r="M210" s="36">
        <v>0.03</v>
      </c>
      <c r="N210" s="36">
        <v>0.6</v>
      </c>
    </row>
    <row r="211" spans="1:14" ht="15" x14ac:dyDescent="0.25">
      <c r="A211" s="116"/>
      <c r="B211" s="53" t="s">
        <v>119</v>
      </c>
      <c r="C211" s="39">
        <v>250</v>
      </c>
      <c r="D211" s="49">
        <f>6.35/4</f>
        <v>1.5874999999999999</v>
      </c>
      <c r="E211" s="49">
        <f>19.95/4</f>
        <v>4.9874999999999998</v>
      </c>
      <c r="F211" s="39">
        <f>52.84/4</f>
        <v>13.21</v>
      </c>
      <c r="G211" s="40">
        <f>381/4</f>
        <v>95.25</v>
      </c>
      <c r="H211" s="59">
        <v>99</v>
      </c>
      <c r="I211" s="36">
        <f>139.4/4</f>
        <v>34.85</v>
      </c>
      <c r="J211" s="36">
        <f>83/4</f>
        <v>20.75</v>
      </c>
      <c r="K211" s="37">
        <f>3.1/4</f>
        <v>0.77500000000000002</v>
      </c>
      <c r="L211" s="43">
        <f>0.29/4</f>
        <v>7.2499999999999995E-2</v>
      </c>
      <c r="M211" s="37">
        <f>0.19/4</f>
        <v>4.7500000000000001E-2</v>
      </c>
      <c r="N211" s="37">
        <f>41.5/4</f>
        <v>10.375</v>
      </c>
    </row>
    <row r="212" spans="1:14" ht="30" x14ac:dyDescent="0.25">
      <c r="A212" s="115" t="s">
        <v>35</v>
      </c>
      <c r="B212" s="53" t="s">
        <v>78</v>
      </c>
      <c r="C212" s="36">
        <v>280</v>
      </c>
      <c r="D212" s="36">
        <v>15</v>
      </c>
      <c r="E212" s="36">
        <v>21.4</v>
      </c>
      <c r="F212" s="36">
        <v>15.5</v>
      </c>
      <c r="G212" s="40">
        <v>316</v>
      </c>
      <c r="H212" s="36">
        <v>205</v>
      </c>
      <c r="I212" s="36">
        <v>22</v>
      </c>
      <c r="J212" s="36">
        <v>2269</v>
      </c>
      <c r="K212" s="36">
        <v>1.79</v>
      </c>
      <c r="L212" s="36">
        <v>7.0000000000000007E-2</v>
      </c>
      <c r="M212" s="36">
        <v>0.11</v>
      </c>
      <c r="N212" s="36">
        <v>0.39</v>
      </c>
    </row>
    <row r="213" spans="1:14" ht="15" x14ac:dyDescent="0.25">
      <c r="A213" s="117"/>
      <c r="B213" s="53" t="s">
        <v>34</v>
      </c>
      <c r="C213" s="36">
        <v>200</v>
      </c>
      <c r="D213" s="36">
        <v>20.6</v>
      </c>
      <c r="E213" s="36">
        <v>22.5</v>
      </c>
      <c r="F213" s="36">
        <v>35.700000000000003</v>
      </c>
      <c r="G213" s="40">
        <v>427.3</v>
      </c>
      <c r="H213" s="36">
        <v>291</v>
      </c>
      <c r="I213" s="36">
        <v>22.3</v>
      </c>
      <c r="J213" s="36">
        <v>39.85</v>
      </c>
      <c r="K213" s="36">
        <v>1.9</v>
      </c>
      <c r="L213" s="36">
        <v>7.0000000000000007E-2</v>
      </c>
      <c r="M213" s="36">
        <v>0.01</v>
      </c>
      <c r="N213" s="36">
        <v>0.66</v>
      </c>
    </row>
    <row r="214" spans="1:14" ht="30" x14ac:dyDescent="0.25">
      <c r="A214" s="116"/>
      <c r="B214" s="53" t="s">
        <v>59</v>
      </c>
      <c r="C214" s="36">
        <v>280</v>
      </c>
      <c r="D214" s="37">
        <v>19.61</v>
      </c>
      <c r="E214" s="37">
        <v>22.79</v>
      </c>
      <c r="F214" s="37">
        <v>49.64</v>
      </c>
      <c r="G214" s="48">
        <v>569</v>
      </c>
      <c r="H214" s="56" t="s">
        <v>52</v>
      </c>
      <c r="I214" s="37">
        <v>29.38</v>
      </c>
      <c r="J214" s="37">
        <v>179.29</v>
      </c>
      <c r="K214" s="37">
        <v>7.43</v>
      </c>
      <c r="L214" s="37">
        <v>0.35</v>
      </c>
      <c r="M214" s="37">
        <v>0.24</v>
      </c>
      <c r="N214" s="37">
        <v>1.02</v>
      </c>
    </row>
    <row r="215" spans="1:14" x14ac:dyDescent="0.25">
      <c r="A215" s="79"/>
      <c r="B215" s="53" t="s">
        <v>36</v>
      </c>
      <c r="C215" s="39">
        <v>30</v>
      </c>
      <c r="D215" s="42">
        <v>2.6</v>
      </c>
      <c r="E215" s="42">
        <v>0.4</v>
      </c>
      <c r="F215" s="42">
        <v>17</v>
      </c>
      <c r="G215" s="38">
        <v>81.599999999999994</v>
      </c>
      <c r="H215" s="61"/>
      <c r="I215" s="37">
        <v>7.2</v>
      </c>
      <c r="J215" s="37">
        <v>7.6</v>
      </c>
      <c r="K215" s="37">
        <v>1.6</v>
      </c>
      <c r="L215" s="37">
        <v>7.0000000000000007E-2</v>
      </c>
      <c r="M215" s="37">
        <v>0.03</v>
      </c>
      <c r="N215" s="37">
        <v>0</v>
      </c>
    </row>
    <row r="216" spans="1:14" x14ac:dyDescent="0.25">
      <c r="A216" s="79"/>
      <c r="B216" s="53" t="s">
        <v>22</v>
      </c>
      <c r="C216" s="39">
        <v>20</v>
      </c>
      <c r="D216" s="39">
        <v>2.2999999999999998</v>
      </c>
      <c r="E216" s="39">
        <v>0.2</v>
      </c>
      <c r="F216" s="39">
        <v>15.1</v>
      </c>
      <c r="G216" s="40">
        <v>71</v>
      </c>
      <c r="H216" s="61"/>
      <c r="I216" s="37">
        <v>6.9</v>
      </c>
      <c r="J216" s="37">
        <v>9.9</v>
      </c>
      <c r="K216" s="37">
        <v>0.6</v>
      </c>
      <c r="L216" s="37">
        <v>0.05</v>
      </c>
      <c r="M216" s="37">
        <v>0.02</v>
      </c>
      <c r="N216" s="43">
        <v>0</v>
      </c>
    </row>
    <row r="217" spans="1:14" x14ac:dyDescent="0.25">
      <c r="A217" s="79"/>
      <c r="B217" s="53" t="s">
        <v>37</v>
      </c>
      <c r="C217" s="39">
        <v>200</v>
      </c>
      <c r="D217" s="39">
        <v>0.2</v>
      </c>
      <c r="E217" s="39">
        <v>0</v>
      </c>
      <c r="F217" s="39">
        <v>14.9</v>
      </c>
      <c r="G217" s="40">
        <v>61.6</v>
      </c>
      <c r="H217" s="61">
        <v>377</v>
      </c>
      <c r="I217" s="37">
        <v>13.29</v>
      </c>
      <c r="J217" s="37">
        <v>10.99</v>
      </c>
      <c r="K217" s="37">
        <v>0.1</v>
      </c>
      <c r="L217" s="37">
        <v>0.06</v>
      </c>
      <c r="M217" s="37">
        <v>0.24</v>
      </c>
      <c r="N217" s="43">
        <v>1</v>
      </c>
    </row>
    <row r="218" spans="1:14" x14ac:dyDescent="0.25">
      <c r="A218" s="79"/>
      <c r="B218" s="53" t="s">
        <v>120</v>
      </c>
      <c r="C218" s="39">
        <v>200</v>
      </c>
      <c r="D218" s="39">
        <v>0</v>
      </c>
      <c r="E218" s="39">
        <v>0</v>
      </c>
      <c r="F218" s="39">
        <v>19.399999999999999</v>
      </c>
      <c r="G218" s="40">
        <v>77.400000000000006</v>
      </c>
      <c r="H218" s="62">
        <v>349</v>
      </c>
      <c r="I218" s="36">
        <v>8.4600000000000009</v>
      </c>
      <c r="J218" s="36">
        <v>1.8</v>
      </c>
      <c r="K218" s="36">
        <v>0</v>
      </c>
      <c r="L218" s="36">
        <v>0.03</v>
      </c>
      <c r="M218" s="36">
        <v>0.02</v>
      </c>
      <c r="N218" s="36">
        <v>0</v>
      </c>
    </row>
    <row r="219" spans="1:14" x14ac:dyDescent="0.25">
      <c r="A219" s="79"/>
      <c r="B219" s="63" t="s">
        <v>39</v>
      </c>
      <c r="C219" s="39">
        <v>60</v>
      </c>
      <c r="D219" s="39">
        <v>1.7</v>
      </c>
      <c r="E219" s="39">
        <v>2</v>
      </c>
      <c r="F219" s="39">
        <v>46.4</v>
      </c>
      <c r="G219" s="40">
        <v>212.4</v>
      </c>
      <c r="H219" s="64"/>
      <c r="I219" s="36">
        <v>9.6</v>
      </c>
      <c r="J219" s="36">
        <v>6</v>
      </c>
      <c r="K219" s="36">
        <v>0.9</v>
      </c>
      <c r="L219" s="36">
        <v>0.02</v>
      </c>
      <c r="M219" s="36">
        <v>0.02</v>
      </c>
      <c r="N219" s="36">
        <v>0</v>
      </c>
    </row>
    <row r="220" spans="1:14" x14ac:dyDescent="0.25">
      <c r="A220" s="79"/>
      <c r="B220" s="78" t="s">
        <v>9</v>
      </c>
      <c r="C220" s="78">
        <f>SUM(C207:C219)</f>
        <v>2070</v>
      </c>
      <c r="D220" s="78">
        <f>SUM(D207:D218)</f>
        <v>68.507499999999993</v>
      </c>
      <c r="E220" s="78">
        <f>SUM(E207:E218)</f>
        <v>97.127500000000012</v>
      </c>
      <c r="F220" s="78">
        <f>SUM(F207:F218)</f>
        <v>212.37000000000003</v>
      </c>
      <c r="G220" s="77">
        <f>SUM(G207:G218)</f>
        <v>2080.37</v>
      </c>
      <c r="H220" s="78"/>
      <c r="I220" s="78">
        <f t="shared" ref="I220:N220" si="8">SUM(I207:I218)</f>
        <v>264.92</v>
      </c>
      <c r="J220" s="78">
        <f t="shared" si="8"/>
        <v>2599.8799999999997</v>
      </c>
      <c r="K220" s="78">
        <f t="shared" si="8"/>
        <v>16.945000000000004</v>
      </c>
      <c r="L220" s="78">
        <f t="shared" si="8"/>
        <v>0.89250000000000007</v>
      </c>
      <c r="M220" s="78">
        <f t="shared" si="8"/>
        <v>0.82950000000000013</v>
      </c>
      <c r="N220" s="78">
        <f t="shared" si="8"/>
        <v>73.014999999999986</v>
      </c>
    </row>
    <row r="221" spans="1:14" x14ac:dyDescent="0.25">
      <c r="A221" s="18"/>
      <c r="B221" s="18"/>
      <c r="C221" s="18"/>
      <c r="D221" s="18"/>
      <c r="E221" s="18"/>
      <c r="F221" s="18"/>
      <c r="G221" s="7"/>
      <c r="H221" s="18"/>
      <c r="I221" s="19"/>
      <c r="J221" s="19"/>
      <c r="K221" s="19"/>
      <c r="L221" s="19"/>
      <c r="M221" s="19"/>
      <c r="N221" s="19"/>
    </row>
    <row r="222" spans="1:14" x14ac:dyDescent="0.25">
      <c r="A222" s="18"/>
      <c r="B222" s="18"/>
      <c r="C222" s="18"/>
      <c r="D222" s="18"/>
      <c r="E222" s="18"/>
      <c r="F222" s="18"/>
      <c r="G222" s="7"/>
      <c r="H222" s="18"/>
      <c r="I222" s="19"/>
      <c r="J222" s="19"/>
      <c r="K222" s="19"/>
      <c r="L222" s="19"/>
      <c r="M222" s="19"/>
      <c r="N222" s="19"/>
    </row>
    <row r="223" spans="1:14" x14ac:dyDescent="0.25">
      <c r="A223" s="5"/>
      <c r="B223" s="5"/>
      <c r="C223" s="6"/>
      <c r="D223" s="84" t="s">
        <v>3</v>
      </c>
      <c r="E223" s="86"/>
      <c r="F223" s="86"/>
      <c r="G223" s="7"/>
      <c r="H223" s="5"/>
      <c r="I223" s="84" t="s">
        <v>14</v>
      </c>
      <c r="J223" s="84"/>
      <c r="K223" s="84"/>
      <c r="L223" s="84" t="s">
        <v>15</v>
      </c>
      <c r="M223" s="84"/>
      <c r="N223" s="84"/>
    </row>
    <row r="224" spans="1:14" ht="37.5" x14ac:dyDescent="0.25">
      <c r="A224" s="8" t="s">
        <v>0</v>
      </c>
      <c r="B224" s="8" t="s">
        <v>1</v>
      </c>
      <c r="C224" s="77" t="s">
        <v>2</v>
      </c>
      <c r="D224" s="78" t="s">
        <v>4</v>
      </c>
      <c r="E224" s="78" t="s">
        <v>5</v>
      </c>
      <c r="F224" s="78" t="s">
        <v>6</v>
      </c>
      <c r="G224" s="77" t="s">
        <v>7</v>
      </c>
      <c r="H224" s="9" t="s">
        <v>8</v>
      </c>
      <c r="I224" s="10" t="s">
        <v>16</v>
      </c>
      <c r="J224" s="10" t="s">
        <v>17</v>
      </c>
      <c r="K224" s="10" t="s">
        <v>18</v>
      </c>
      <c r="L224" s="10" t="s">
        <v>19</v>
      </c>
      <c r="M224" s="10" t="s">
        <v>20</v>
      </c>
      <c r="N224" s="10" t="s">
        <v>21</v>
      </c>
    </row>
    <row r="225" spans="1:14" x14ac:dyDescent="0.25">
      <c r="A225" s="85" t="s">
        <v>28</v>
      </c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</row>
    <row r="226" spans="1:14" x14ac:dyDescent="0.25">
      <c r="A226" s="83" t="s">
        <v>121</v>
      </c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</row>
    <row r="227" spans="1:14" x14ac:dyDescent="0.25">
      <c r="A227" s="115" t="s">
        <v>31</v>
      </c>
      <c r="B227" s="53" t="s">
        <v>122</v>
      </c>
      <c r="C227" s="79">
        <v>100</v>
      </c>
      <c r="D227" s="79">
        <v>0.7</v>
      </c>
      <c r="E227" s="79">
        <v>0.1</v>
      </c>
      <c r="F227" s="79">
        <v>1.9</v>
      </c>
      <c r="G227" s="11">
        <v>12</v>
      </c>
      <c r="H227" s="79"/>
      <c r="I227" s="79">
        <v>17</v>
      </c>
      <c r="J227" s="79">
        <v>14</v>
      </c>
      <c r="K227" s="79">
        <v>0.5</v>
      </c>
      <c r="L227" s="79">
        <v>0.04</v>
      </c>
      <c r="M227" s="79">
        <v>0.02</v>
      </c>
      <c r="N227" s="79">
        <v>4.9000000000000004</v>
      </c>
    </row>
    <row r="228" spans="1:14" ht="30" x14ac:dyDescent="0.25">
      <c r="A228" s="117"/>
      <c r="B228" s="53" t="s">
        <v>123</v>
      </c>
      <c r="C228" s="79">
        <v>100</v>
      </c>
      <c r="D228" s="79">
        <v>1.6</v>
      </c>
      <c r="E228" s="79">
        <v>5</v>
      </c>
      <c r="F228" s="79">
        <v>7.6</v>
      </c>
      <c r="G228" s="11">
        <v>83</v>
      </c>
      <c r="H228" s="79">
        <v>47</v>
      </c>
      <c r="I228" s="79">
        <v>48.05</v>
      </c>
      <c r="J228" s="79">
        <v>14.46</v>
      </c>
      <c r="K228" s="79">
        <v>0.59</v>
      </c>
      <c r="L228" s="79">
        <v>0.02</v>
      </c>
      <c r="M228" s="79">
        <v>0.03</v>
      </c>
      <c r="N228" s="79">
        <v>26.75</v>
      </c>
    </row>
    <row r="229" spans="1:14" ht="30" x14ac:dyDescent="0.25">
      <c r="A229" s="116"/>
      <c r="B229" s="53" t="s">
        <v>74</v>
      </c>
      <c r="C229" s="79">
        <v>100</v>
      </c>
      <c r="D229" s="79">
        <v>1.8</v>
      </c>
      <c r="E229" s="79">
        <v>6.2</v>
      </c>
      <c r="F229" s="79">
        <v>9.2100000000000009</v>
      </c>
      <c r="G229" s="11">
        <v>99.5</v>
      </c>
      <c r="H229" s="79">
        <v>42</v>
      </c>
      <c r="I229" s="79">
        <v>15.9</v>
      </c>
      <c r="J229" s="79">
        <v>18.8</v>
      </c>
      <c r="K229" s="79">
        <v>0.74</v>
      </c>
      <c r="L229" s="79">
        <f>0.83/10</f>
        <v>8.299999999999999E-2</v>
      </c>
      <c r="M229" s="79">
        <f>0.49/10</f>
        <v>4.9000000000000002E-2</v>
      </c>
      <c r="N229" s="79">
        <f>130.43/10</f>
        <v>13.043000000000001</v>
      </c>
    </row>
    <row r="230" spans="1:14" x14ac:dyDescent="0.25">
      <c r="A230" s="115" t="s">
        <v>33</v>
      </c>
      <c r="B230" s="53" t="s">
        <v>124</v>
      </c>
      <c r="C230" s="13">
        <v>250</v>
      </c>
      <c r="D230" s="13">
        <v>2</v>
      </c>
      <c r="E230" s="13">
        <v>5.0999999999999996</v>
      </c>
      <c r="F230" s="13">
        <v>13.7</v>
      </c>
      <c r="G230" s="11">
        <v>108</v>
      </c>
      <c r="H230" s="13">
        <v>80</v>
      </c>
      <c r="I230" s="79">
        <v>28.27</v>
      </c>
      <c r="J230" s="79">
        <v>24.9</v>
      </c>
      <c r="K230" s="79">
        <v>1.21</v>
      </c>
      <c r="L230" s="79">
        <v>0.05</v>
      </c>
      <c r="M230" s="79">
        <v>0.05</v>
      </c>
      <c r="N230" s="79">
        <v>4.84</v>
      </c>
    </row>
    <row r="231" spans="1:14" x14ac:dyDescent="0.25">
      <c r="A231" s="116"/>
      <c r="B231" s="53" t="s">
        <v>89</v>
      </c>
      <c r="C231" s="13">
        <v>250</v>
      </c>
      <c r="D231" s="13">
        <f>5.93/4</f>
        <v>1.4824999999999999</v>
      </c>
      <c r="E231" s="13">
        <f>19.67/4</f>
        <v>4.9175000000000004</v>
      </c>
      <c r="F231" s="13">
        <f>24.36/4</f>
        <v>6.09</v>
      </c>
      <c r="G231" s="11">
        <f>305/4</f>
        <v>76.25</v>
      </c>
      <c r="H231" s="13">
        <v>98</v>
      </c>
      <c r="I231" s="79">
        <f>143.5/4</f>
        <v>35.875</v>
      </c>
      <c r="J231" s="79">
        <f>56.7/4</f>
        <v>14.175000000000001</v>
      </c>
      <c r="K231" s="79">
        <f>2.3/4</f>
        <v>0.57499999999999996</v>
      </c>
      <c r="L231" s="79">
        <f>0.17/4</f>
        <v>4.2500000000000003E-2</v>
      </c>
      <c r="M231" s="79">
        <f>0.13/4</f>
        <v>3.2500000000000001E-2</v>
      </c>
      <c r="N231" s="79">
        <f>39.5/4</f>
        <v>9.875</v>
      </c>
    </row>
    <row r="232" spans="1:14" ht="45" x14ac:dyDescent="0.25">
      <c r="A232" s="115" t="s">
        <v>35</v>
      </c>
      <c r="B232" s="53" t="s">
        <v>125</v>
      </c>
      <c r="C232" s="13">
        <v>280</v>
      </c>
      <c r="D232" s="13">
        <f>14.1+4.32</f>
        <v>18.420000000000002</v>
      </c>
      <c r="E232" s="13">
        <f>11.8+5.52</f>
        <v>17.32</v>
      </c>
      <c r="F232" s="13">
        <f>10.4+45.24</f>
        <v>55.64</v>
      </c>
      <c r="G232" s="11">
        <f>205+247.2</f>
        <v>452.2</v>
      </c>
      <c r="H232" s="56" t="s">
        <v>126</v>
      </c>
      <c r="I232" s="79">
        <f>31.08+16.88</f>
        <v>47.959999999999994</v>
      </c>
      <c r="J232" s="79">
        <f>26.4+159.54</f>
        <v>185.94</v>
      </c>
      <c r="K232" s="79">
        <f>1.15+5.47</f>
        <v>6.6199999999999992</v>
      </c>
      <c r="L232" s="79">
        <f>0.06+0.31</f>
        <v>0.37</v>
      </c>
      <c r="M232" s="79">
        <f>0.13+0.16</f>
        <v>0.29000000000000004</v>
      </c>
      <c r="N232" s="79">
        <f>0.03+0</f>
        <v>0.03</v>
      </c>
    </row>
    <row r="233" spans="1:14" ht="30" x14ac:dyDescent="0.25">
      <c r="A233" s="117"/>
      <c r="B233" s="53" t="s">
        <v>127</v>
      </c>
      <c r="C233" s="13">
        <v>280</v>
      </c>
      <c r="D233" s="13">
        <f>6.48+15.2</f>
        <v>21.68</v>
      </c>
      <c r="E233" s="13">
        <f>7.87+17.38</f>
        <v>25.25</v>
      </c>
      <c r="F233" s="13">
        <f>41.04+2.56</f>
        <v>43.6</v>
      </c>
      <c r="G233" s="11">
        <f>258.48+225</f>
        <v>483.48</v>
      </c>
      <c r="H233" s="56" t="s">
        <v>128</v>
      </c>
      <c r="I233" s="79">
        <f>11.31+21.23</f>
        <v>32.54</v>
      </c>
      <c r="J233" s="79">
        <f>9.07+23.06</f>
        <v>32.129999999999995</v>
      </c>
      <c r="K233" s="79">
        <f>0.92+2.42</f>
        <v>3.34</v>
      </c>
      <c r="L233" s="79">
        <f>0.07+0.03</f>
        <v>0.1</v>
      </c>
      <c r="M233" s="79">
        <f>0.02+0.1</f>
        <v>0.12000000000000001</v>
      </c>
      <c r="N233" s="79">
        <f>0+18</f>
        <v>18</v>
      </c>
    </row>
    <row r="234" spans="1:14" ht="30" x14ac:dyDescent="0.25">
      <c r="A234" s="116"/>
      <c r="B234" s="53" t="s">
        <v>129</v>
      </c>
      <c r="C234" s="13">
        <v>200</v>
      </c>
      <c r="D234" s="14">
        <v>20.5</v>
      </c>
      <c r="E234" s="14">
        <v>46.1</v>
      </c>
      <c r="F234" s="14">
        <v>12</v>
      </c>
      <c r="G234" s="34">
        <v>552</v>
      </c>
      <c r="H234" s="56">
        <v>113</v>
      </c>
      <c r="I234" s="79">
        <v>72.63</v>
      </c>
      <c r="J234" s="79">
        <v>47.04</v>
      </c>
      <c r="K234" s="79">
        <v>3.75</v>
      </c>
      <c r="L234" s="79">
        <v>0.08</v>
      </c>
      <c r="M234" s="79">
        <v>0.19</v>
      </c>
      <c r="N234" s="79">
        <v>7.27</v>
      </c>
    </row>
    <row r="235" spans="1:14" x14ac:dyDescent="0.25">
      <c r="A235" s="79"/>
      <c r="B235" s="53" t="s">
        <v>36</v>
      </c>
      <c r="C235" s="79">
        <v>30</v>
      </c>
      <c r="D235" s="15">
        <v>2.6</v>
      </c>
      <c r="E235" s="15">
        <v>0.4</v>
      </c>
      <c r="F235" s="15">
        <v>17</v>
      </c>
      <c r="G235" s="12">
        <v>81.599999999999994</v>
      </c>
      <c r="H235" s="69"/>
      <c r="I235" s="14">
        <v>7.2</v>
      </c>
      <c r="J235" s="14">
        <v>7.6</v>
      </c>
      <c r="K235" s="14">
        <v>1.6</v>
      </c>
      <c r="L235" s="14">
        <v>7.0000000000000007E-2</v>
      </c>
      <c r="M235" s="14">
        <v>0.03</v>
      </c>
      <c r="N235" s="14">
        <v>0</v>
      </c>
    </row>
    <row r="236" spans="1:14" x14ac:dyDescent="0.25">
      <c r="A236" s="79"/>
      <c r="B236" s="53" t="s">
        <v>22</v>
      </c>
      <c r="C236" s="13">
        <v>20</v>
      </c>
      <c r="D236" s="13">
        <v>2.2999999999999998</v>
      </c>
      <c r="E236" s="13">
        <v>0.2</v>
      </c>
      <c r="F236" s="13">
        <v>15.1</v>
      </c>
      <c r="G236" s="11">
        <v>71</v>
      </c>
      <c r="H236" s="69"/>
      <c r="I236" s="14">
        <v>6.9</v>
      </c>
      <c r="J236" s="14">
        <v>9.9</v>
      </c>
      <c r="K236" s="14">
        <v>0.6</v>
      </c>
      <c r="L236" s="14">
        <v>0.05</v>
      </c>
      <c r="M236" s="14">
        <v>0.02</v>
      </c>
      <c r="N236" s="16">
        <v>0</v>
      </c>
    </row>
    <row r="237" spans="1:14" ht="30" x14ac:dyDescent="0.25">
      <c r="A237" s="115" t="s">
        <v>40</v>
      </c>
      <c r="B237" s="53" t="s">
        <v>115</v>
      </c>
      <c r="C237" s="13">
        <v>200</v>
      </c>
      <c r="D237" s="13">
        <v>0</v>
      </c>
      <c r="E237" s="13">
        <v>0</v>
      </c>
      <c r="F237" s="13">
        <v>19.399999999999999</v>
      </c>
      <c r="G237" s="11">
        <v>77.400000000000006</v>
      </c>
      <c r="H237" s="69">
        <v>349</v>
      </c>
      <c r="I237" s="14">
        <v>8.4600000000000009</v>
      </c>
      <c r="J237" s="14">
        <v>1.8</v>
      </c>
      <c r="K237" s="14">
        <v>0</v>
      </c>
      <c r="L237" s="14">
        <v>0.03</v>
      </c>
      <c r="M237" s="14">
        <v>0.02</v>
      </c>
      <c r="N237" s="16">
        <v>0</v>
      </c>
    </row>
    <row r="238" spans="1:14" x14ac:dyDescent="0.25">
      <c r="A238" s="116"/>
      <c r="B238" s="53" t="s">
        <v>54</v>
      </c>
      <c r="C238" s="13">
        <v>200</v>
      </c>
      <c r="D238" s="35">
        <v>0.2</v>
      </c>
      <c r="E238" s="35">
        <v>0.1</v>
      </c>
      <c r="F238" s="35">
        <v>15</v>
      </c>
      <c r="G238" s="34">
        <v>60</v>
      </c>
      <c r="H238" s="68">
        <v>442</v>
      </c>
      <c r="I238" s="79">
        <v>0.26</v>
      </c>
      <c r="J238" s="79">
        <v>0</v>
      </c>
      <c r="K238" s="79">
        <v>0.03</v>
      </c>
      <c r="L238" s="79">
        <v>0</v>
      </c>
      <c r="M238" s="79">
        <v>0</v>
      </c>
      <c r="N238" s="79">
        <v>0</v>
      </c>
    </row>
    <row r="239" spans="1:14" x14ac:dyDescent="0.25">
      <c r="A239" s="79"/>
      <c r="B239" s="63" t="s">
        <v>55</v>
      </c>
      <c r="C239" s="13">
        <v>100</v>
      </c>
      <c r="D239" s="13">
        <v>0.4</v>
      </c>
      <c r="E239" s="13">
        <v>0.4</v>
      </c>
      <c r="F239" s="13">
        <v>9.8000000000000007</v>
      </c>
      <c r="G239" s="11">
        <v>47</v>
      </c>
      <c r="H239" s="64"/>
      <c r="I239" s="79">
        <v>16</v>
      </c>
      <c r="J239" s="79">
        <v>8</v>
      </c>
      <c r="K239" s="79">
        <v>2.2000000000000002</v>
      </c>
      <c r="L239" s="79">
        <v>0.03</v>
      </c>
      <c r="M239" s="79">
        <v>0.02</v>
      </c>
      <c r="N239" s="79">
        <v>10</v>
      </c>
    </row>
    <row r="240" spans="1:14" x14ac:dyDescent="0.25">
      <c r="A240" s="79"/>
      <c r="B240" s="11"/>
      <c r="C240" s="13"/>
      <c r="D240" s="13"/>
      <c r="E240" s="13"/>
      <c r="F240" s="13"/>
      <c r="G240" s="11"/>
      <c r="H240" s="70"/>
      <c r="I240" s="79"/>
      <c r="J240" s="79"/>
      <c r="K240" s="79"/>
      <c r="L240" s="79"/>
      <c r="M240" s="79"/>
      <c r="N240" s="79"/>
    </row>
    <row r="241" spans="1:14" x14ac:dyDescent="0.25">
      <c r="A241" s="79"/>
      <c r="B241" s="81" t="s">
        <v>9</v>
      </c>
      <c r="C241" s="81">
        <f>SUM(C227:C240)</f>
        <v>2110</v>
      </c>
      <c r="D241" s="81">
        <f>SUM(D227:D240)</f>
        <v>73.682500000000005</v>
      </c>
      <c r="E241" s="81">
        <f>SUM(E227:E240)</f>
        <v>111.08750000000002</v>
      </c>
      <c r="F241" s="81">
        <f>SUM(F227:F240)</f>
        <v>226.04000000000002</v>
      </c>
      <c r="G241" s="8">
        <f>SUM(G227:G240)</f>
        <v>2203.4299999999998</v>
      </c>
      <c r="H241" s="76"/>
      <c r="I241" s="81">
        <f>SUM(I227:I240)</f>
        <v>337.04499999999996</v>
      </c>
      <c r="J241" s="81">
        <f t="shared" ref="J241:N241" si="9">SUM(J227:J240)</f>
        <v>378.745</v>
      </c>
      <c r="K241" s="81">
        <f t="shared" si="9"/>
        <v>21.755000000000003</v>
      </c>
      <c r="L241" s="81">
        <f t="shared" si="9"/>
        <v>0.96550000000000002</v>
      </c>
      <c r="M241" s="81">
        <f t="shared" si="9"/>
        <v>0.87150000000000016</v>
      </c>
      <c r="N241" s="81">
        <f t="shared" si="9"/>
        <v>94.707999999999998</v>
      </c>
    </row>
    <row r="242" spans="1:14" x14ac:dyDescent="0.3">
      <c r="A242" s="22"/>
      <c r="B242" s="22"/>
      <c r="C242" s="22"/>
      <c r="D242" s="22"/>
      <c r="E242" s="22"/>
      <c r="F242" s="22"/>
      <c r="G242" s="23"/>
      <c r="H242" s="22"/>
      <c r="I242" s="22"/>
      <c r="J242" s="22"/>
      <c r="K242" s="22"/>
      <c r="L242" s="22"/>
      <c r="M242" s="22"/>
      <c r="N242" s="22"/>
    </row>
    <row r="243" spans="1:14" x14ac:dyDescent="0.3">
      <c r="A243" s="22"/>
      <c r="B243" s="24" t="s">
        <v>12</v>
      </c>
      <c r="C243" s="24"/>
      <c r="D243" s="24"/>
      <c r="E243" s="24"/>
      <c r="F243" s="24"/>
      <c r="G243" s="25"/>
      <c r="H243" s="22"/>
      <c r="I243" s="22"/>
      <c r="J243" s="22"/>
      <c r="K243" s="22"/>
      <c r="L243" s="22"/>
      <c r="M243" s="22"/>
      <c r="N243" s="22"/>
    </row>
    <row r="244" spans="1:14" x14ac:dyDescent="0.3">
      <c r="A244" s="22"/>
      <c r="B244" s="24" t="s">
        <v>13</v>
      </c>
      <c r="C244" s="24"/>
      <c r="D244" s="24"/>
      <c r="E244" s="24"/>
      <c r="F244" s="24"/>
      <c r="G244" s="25"/>
      <c r="H244" s="22"/>
      <c r="I244" s="22"/>
      <c r="J244" s="22"/>
      <c r="K244" s="22"/>
      <c r="L244" s="22"/>
      <c r="M244" s="22"/>
      <c r="N244" s="22"/>
    </row>
    <row r="245" spans="1:14" ht="61.5" x14ac:dyDescent="0.85">
      <c r="A245" s="3"/>
      <c r="B245" s="67" t="s">
        <v>92</v>
      </c>
      <c r="C245" s="66"/>
      <c r="D245" s="66"/>
      <c r="E245" s="66"/>
      <c r="F245" s="65"/>
      <c r="G245" s="4"/>
      <c r="H245" s="3"/>
      <c r="I245" s="3"/>
      <c r="J245" s="3"/>
      <c r="K245" s="3"/>
      <c r="L245" s="3"/>
      <c r="M245" s="3"/>
      <c r="N245" s="3"/>
    </row>
  </sheetData>
  <mergeCells count="90">
    <mergeCell ref="A225:N225"/>
    <mergeCell ref="A226:N226"/>
    <mergeCell ref="A227:A229"/>
    <mergeCell ref="A230:A231"/>
    <mergeCell ref="A232:A234"/>
    <mergeCell ref="A237:A238"/>
    <mergeCell ref="A205:N205"/>
    <mergeCell ref="A206:N206"/>
    <mergeCell ref="A207:A209"/>
    <mergeCell ref="A210:A211"/>
    <mergeCell ref="A212:A214"/>
    <mergeCell ref="D223:F223"/>
    <mergeCell ref="I223:K223"/>
    <mergeCell ref="L223:N223"/>
    <mergeCell ref="A190:A191"/>
    <mergeCell ref="A192:A194"/>
    <mergeCell ref="A197:A198"/>
    <mergeCell ref="D203:F203"/>
    <mergeCell ref="I203:K203"/>
    <mergeCell ref="L203:N203"/>
    <mergeCell ref="D183:F183"/>
    <mergeCell ref="I183:K183"/>
    <mergeCell ref="L183:N183"/>
    <mergeCell ref="A185:N185"/>
    <mergeCell ref="A186:N186"/>
    <mergeCell ref="A187:A189"/>
    <mergeCell ref="A164:N164"/>
    <mergeCell ref="A165:N165"/>
    <mergeCell ref="A166:A168"/>
    <mergeCell ref="A169:A170"/>
    <mergeCell ref="A171:A173"/>
    <mergeCell ref="A176:A177"/>
    <mergeCell ref="A145:N145"/>
    <mergeCell ref="A146:N146"/>
    <mergeCell ref="A147:A148"/>
    <mergeCell ref="A149:A150"/>
    <mergeCell ref="A151:A153"/>
    <mergeCell ref="D162:F162"/>
    <mergeCell ref="I162:K162"/>
    <mergeCell ref="L162:N162"/>
    <mergeCell ref="A130:A131"/>
    <mergeCell ref="A132:A134"/>
    <mergeCell ref="A135:A136"/>
    <mergeCell ref="D143:F143"/>
    <mergeCell ref="I143:K143"/>
    <mergeCell ref="L143:N143"/>
    <mergeCell ref="A141:N142"/>
    <mergeCell ref="D124:F124"/>
    <mergeCell ref="I124:K124"/>
    <mergeCell ref="L124:N124"/>
    <mergeCell ref="A126:N126"/>
    <mergeCell ref="A127:N127"/>
    <mergeCell ref="A128:A129"/>
    <mergeCell ref="A40:A41"/>
    <mergeCell ref="A42:A44"/>
    <mergeCell ref="D62:F62"/>
    <mergeCell ref="I62:K62"/>
    <mergeCell ref="L62:N62"/>
    <mergeCell ref="A65:N65"/>
    <mergeCell ref="A18:A19"/>
    <mergeCell ref="A23:N23"/>
    <mergeCell ref="D33:F33"/>
    <mergeCell ref="I33:K33"/>
    <mergeCell ref="L33:N33"/>
    <mergeCell ref="A35:N35"/>
    <mergeCell ref="K1:N1"/>
    <mergeCell ref="D2:I2"/>
    <mergeCell ref="D4:F4"/>
    <mergeCell ref="I4:K4"/>
    <mergeCell ref="L4:N4"/>
    <mergeCell ref="A98:N98"/>
    <mergeCell ref="A99:A101"/>
    <mergeCell ref="A102:A103"/>
    <mergeCell ref="A104:A106"/>
    <mergeCell ref="D95:F95"/>
    <mergeCell ref="I95:K95"/>
    <mergeCell ref="L95:N95"/>
    <mergeCell ref="A97:N97"/>
    <mergeCell ref="A64:N64"/>
    <mergeCell ref="A66:A68"/>
    <mergeCell ref="A69:A70"/>
    <mergeCell ref="A71:A73"/>
    <mergeCell ref="A76:A77"/>
    <mergeCell ref="A36:N36"/>
    <mergeCell ref="A37:A39"/>
    <mergeCell ref="A7:N7"/>
    <mergeCell ref="A8:A10"/>
    <mergeCell ref="A11:A12"/>
    <mergeCell ref="A13:A15"/>
    <mergeCell ref="A6:N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4" manualBreakCount="4">
    <brk id="18" max="13" man="1"/>
    <brk id="46" max="13" man="1"/>
    <brk id="78" max="13" man="1"/>
    <brk id="11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Учащиеся от 12 и старше </vt:lpstr>
      <vt:lpstr>' Учащиеся от 12 и старше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2025-01-13T12:21:08Z</dcterms:modified>
</cp:coreProperties>
</file>